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tables/table15.xml" ContentType="application/vnd.openxmlformats-officedocument.spreadsheetml.table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tables/table16.xml" ContentType="application/vnd.openxmlformats-officedocument.spreadsheetml.table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tables/table17.xml" ContentType="application/vnd.openxmlformats-officedocument.spreadsheetml.table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tables/table18.xml" ContentType="application/vnd.openxmlformats-officedocument.spreadsheetml.table+xml"/>
  <Override PartName="/xl/comments7.xml" ContentType="application/vnd.openxmlformats-officedocument.spreadsheetml.comments+xml"/>
  <Override PartName="/xl/threadedComments/threadedComment7.xml" ContentType="application/vnd.ms-excel.threadedcomments+xml"/>
  <Override PartName="/xl/tables/table19.xml" ContentType="application/vnd.openxmlformats-officedocument.spreadsheetml.table+xml"/>
  <Override PartName="/xl/comments8.xml" ContentType="application/vnd.openxmlformats-officedocument.spreadsheetml.comments+xml"/>
  <Override PartName="/xl/threadedComments/threadedComment8.xml" ContentType="application/vnd.ms-excel.threadedcomments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comments9.xml" ContentType="application/vnd.openxmlformats-officedocument.spreadsheetml.comments+xml"/>
  <Override PartName="/xl/threadedComments/threadedComment9.xml" ContentType="application/vnd.ms-excel.threadedcomments+xml"/>
  <Override PartName="/xl/tables/table23.xml" ContentType="application/vnd.openxmlformats-officedocument.spreadsheetml.table+xml"/>
  <Override PartName="/xl/comments10.xml" ContentType="application/vnd.openxmlformats-officedocument.spreadsheetml.comments+xml"/>
  <Override PartName="/xl/threadedComments/threadedComment10.xml" ContentType="application/vnd.ms-excel.threadedcomments+xml"/>
  <Override PartName="/xl/tables/table24.xml" ContentType="application/vnd.openxmlformats-officedocument.spreadsheetml.table+xml"/>
  <Override PartName="/xl/comments11.xml" ContentType="application/vnd.openxmlformats-officedocument.spreadsheetml.comments+xml"/>
  <Override PartName="/xl/threadedComments/threadedComment11.xml" ContentType="application/vnd.ms-excel.threadedcomments+xml"/>
  <Override PartName="/xl/tables/table25.xml" ContentType="application/vnd.openxmlformats-officedocument.spreadsheetml.table+xml"/>
  <Override PartName="/xl/comments12.xml" ContentType="application/vnd.openxmlformats-officedocument.spreadsheetml.comments+xml"/>
  <Override PartName="/xl/threadedComments/threadedComment12.xml" ContentType="application/vnd.ms-excel.threadedcomments+xml"/>
  <Override PartName="/xl/tables/table26.xml" ContentType="application/vnd.openxmlformats-officedocument.spreadsheetml.table+xml"/>
  <Override PartName="/xl/comments13.xml" ContentType="application/vnd.openxmlformats-officedocument.spreadsheetml.comments+xml"/>
  <Override PartName="/xl/threadedComments/threadedComment13.xml" ContentType="application/vnd.ms-excel.threadedcomments+xml"/>
  <Override PartName="/xl/tables/table27.xml" ContentType="application/vnd.openxmlformats-officedocument.spreadsheetml.table+xml"/>
  <Override PartName="/xl/comments14.xml" ContentType="application/vnd.openxmlformats-officedocument.spreadsheetml.comments+xml"/>
  <Override PartName="/xl/threadedComments/threadedComment14.xml" ContentType="application/vnd.ms-excel.threadedcomments+xml"/>
  <Override PartName="/xl/tables/table28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kclt.sharepoint.com/Sklaida/Filmų rodymo statistika/Ataskaitos/Savaitės/2024/Gruodis/"/>
    </mc:Choice>
  </mc:AlternateContent>
  <xr:revisionPtr revIDLastSave="2604" documentId="13_ncr:1_{35BDACDF-604A-4CE4-9645-F047AFD2A890}" xr6:coauthVersionLast="47" xr6:coauthVersionMax="47" xr10:uidLastSave="{884F5845-28D7-432D-8603-0C155424B5B7}"/>
  <bookViews>
    <workbookView xWindow="1170" yWindow="1170" windowWidth="24285" windowHeight="14370" xr2:uid="{00000000-000D-0000-FFFF-FFFF00000000}"/>
  </bookViews>
  <sheets>
    <sheet name="11.29-12.05" sheetId="32" r:id="rId1"/>
    <sheet name="11.22-11.28" sheetId="31" r:id="rId2"/>
    <sheet name="11.15-11.21" sheetId="30" r:id="rId3"/>
    <sheet name="11.08-11.14" sheetId="29" r:id="rId4"/>
    <sheet name="11.01-11.07" sheetId="28" r:id="rId5"/>
    <sheet name="10.25-10.31" sheetId="27" r:id="rId6"/>
    <sheet name="10.18-10.24" sheetId="26" r:id="rId7"/>
    <sheet name="10.11-10.17" sheetId="25" r:id="rId8"/>
    <sheet name="10.04-10.10" sheetId="24" r:id="rId9"/>
    <sheet name="09.27-10.03" sheetId="23" r:id="rId10"/>
    <sheet name="09.20-09.26" sheetId="22" r:id="rId11"/>
    <sheet name="09.13-09.19" sheetId="21" r:id="rId12"/>
    <sheet name="09.06-09.12" sheetId="20" r:id="rId13"/>
    <sheet name="08.30-09.05" sheetId="19" r:id="rId14"/>
    <sheet name="08.23-08.29" sheetId="17" r:id="rId15"/>
    <sheet name="08.16-08.22" sheetId="16" r:id="rId16"/>
    <sheet name="08.09-08.15" sheetId="15" r:id="rId17"/>
    <sheet name="08.02-08.08" sheetId="14" r:id="rId18"/>
    <sheet name="07.26-08.01" sheetId="13" r:id="rId19"/>
    <sheet name="07.19-07.25" sheetId="12" r:id="rId20"/>
    <sheet name="07.12-07.18" sheetId="11" r:id="rId21"/>
    <sheet name="07.05-07.11" sheetId="10" r:id="rId22"/>
    <sheet name="06.28-07.04" sheetId="8" r:id="rId23"/>
    <sheet name="06.21-06.27" sheetId="6" r:id="rId24"/>
    <sheet name="06.14-06.20" sheetId="5" r:id="rId25"/>
    <sheet name="06.07-06.13" sheetId="4" r:id="rId26"/>
    <sheet name="05.31-06.06" sheetId="3" r:id="rId27"/>
    <sheet name="05.24-05.30" sheetId="2" r:id="rId2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32" l="1"/>
  <c r="D34" i="32"/>
  <c r="F19" i="32" l="1"/>
  <c r="I26" i="32"/>
  <c r="F18" i="32"/>
  <c r="F31" i="32"/>
  <c r="F32" i="32" l="1"/>
  <c r="F8" i="32"/>
  <c r="I3" i="32" l="1"/>
  <c r="I23" i="32"/>
  <c r="I14" i="32" l="1"/>
  <c r="I16" i="32"/>
  <c r="I8" i="32"/>
  <c r="I7" i="32"/>
  <c r="I10" i="32"/>
  <c r="I11" i="32"/>
  <c r="I13" i="32"/>
  <c r="I18" i="32"/>
  <c r="I12" i="32"/>
  <c r="I22" i="32"/>
  <c r="I6" i="32"/>
  <c r="I17" i="32"/>
  <c r="I19" i="32"/>
  <c r="I15" i="32"/>
  <c r="I21" i="32"/>
  <c r="I27" i="32"/>
  <c r="I20" i="32"/>
  <c r="I24" i="32"/>
  <c r="I25" i="32"/>
  <c r="I31" i="32"/>
  <c r="I30" i="32"/>
  <c r="I29" i="32"/>
  <c r="I33" i="32"/>
  <c r="F34" i="32"/>
  <c r="F33" i="32"/>
  <c r="F28" i="32"/>
  <c r="F29" i="32"/>
  <c r="F30" i="32"/>
  <c r="F25" i="32"/>
  <c r="F24" i="32"/>
  <c r="F20" i="32"/>
  <c r="F27" i="32"/>
  <c r="F21" i="32"/>
  <c r="F15" i="32"/>
  <c r="F17" i="32"/>
  <c r="F22" i="32"/>
  <c r="F12" i="32"/>
  <c r="F13" i="32"/>
  <c r="F11" i="32"/>
  <c r="F9" i="32"/>
  <c r="F10" i="32"/>
  <c r="F7" i="32"/>
  <c r="F5" i="32"/>
  <c r="I4" i="32"/>
  <c r="F4" i="32"/>
  <c r="G40" i="31" l="1"/>
  <c r="D40" i="31"/>
  <c r="F21" i="31"/>
  <c r="I28" i="31" l="1"/>
  <c r="I39" i="31" l="1"/>
  <c r="F3" i="31" l="1"/>
  <c r="F29" i="31" l="1"/>
  <c r="I10" i="31"/>
  <c r="I27" i="31"/>
  <c r="I26" i="31"/>
  <c r="F14" i="31"/>
  <c r="F13" i="31"/>
  <c r="F11" i="31"/>
  <c r="I30" i="31" l="1"/>
  <c r="I15" i="31"/>
  <c r="I35" i="31" l="1"/>
  <c r="F40" i="31"/>
  <c r="I37" i="31"/>
  <c r="F37" i="31"/>
  <c r="I32" i="31"/>
  <c r="F32" i="31"/>
  <c r="F39" i="31"/>
  <c r="F35" i="31"/>
  <c r="I29" i="31"/>
  <c r="F36" i="31"/>
  <c r="I34" i="31"/>
  <c r="F34" i="31"/>
  <c r="I31" i="31"/>
  <c r="F31" i="31"/>
  <c r="I33" i="31"/>
  <c r="F33" i="31"/>
  <c r="I5" i="31"/>
  <c r="I23" i="31"/>
  <c r="F23" i="31"/>
  <c r="I22" i="31"/>
  <c r="F22" i="31"/>
  <c r="I24" i="31"/>
  <c r="F24" i="31"/>
  <c r="I20" i="31"/>
  <c r="F20" i="31"/>
  <c r="I25" i="31"/>
  <c r="F25" i="31"/>
  <c r="I18" i="31"/>
  <c r="F18" i="31"/>
  <c r="I16" i="31"/>
  <c r="F16" i="31"/>
  <c r="I11" i="31"/>
  <c r="I14" i="31"/>
  <c r="F8" i="31"/>
  <c r="I9" i="31"/>
  <c r="F9" i="31"/>
  <c r="I6" i="31"/>
  <c r="F6" i="31"/>
  <c r="I7" i="31"/>
  <c r="F7" i="31"/>
  <c r="F4" i="31"/>
  <c r="I3" i="31"/>
  <c r="G42" i="30"/>
  <c r="D42" i="30"/>
  <c r="I32" i="30" l="1"/>
  <c r="I19" i="30" l="1"/>
  <c r="I33" i="30"/>
  <c r="I22" i="30" l="1"/>
  <c r="F36" i="30" l="1"/>
  <c r="I27" i="30"/>
  <c r="I34" i="30" l="1"/>
  <c r="I37" i="30"/>
  <c r="I30" i="30"/>
  <c r="F6" i="30"/>
  <c r="F8" i="30"/>
  <c r="F42" i="30"/>
  <c r="I36" i="30"/>
  <c r="I41" i="30"/>
  <c r="F41" i="30"/>
  <c r="I35" i="30"/>
  <c r="F35" i="30"/>
  <c r="F26" i="30"/>
  <c r="I9" i="30"/>
  <c r="I25" i="30"/>
  <c r="F25" i="30"/>
  <c r="F29" i="30"/>
  <c r="I23" i="30"/>
  <c r="F23" i="30"/>
  <c r="I20" i="30"/>
  <c r="F20" i="30"/>
  <c r="F32" i="30"/>
  <c r="I17" i="30"/>
  <c r="F17" i="30"/>
  <c r="I38" i="30"/>
  <c r="F38" i="30"/>
  <c r="I18" i="30"/>
  <c r="F18" i="30"/>
  <c r="I24" i="30"/>
  <c r="F24" i="30"/>
  <c r="I21" i="30"/>
  <c r="F21" i="30"/>
  <c r="I15" i="30"/>
  <c r="F15" i="30"/>
  <c r="I11" i="30"/>
  <c r="F11" i="30"/>
  <c r="I16" i="30"/>
  <c r="F16" i="30"/>
  <c r="I14" i="30"/>
  <c r="F14" i="30"/>
  <c r="I12" i="30"/>
  <c r="F12" i="30"/>
  <c r="I3" i="30"/>
  <c r="I13" i="30"/>
  <c r="F13" i="30"/>
  <c r="I6" i="30"/>
  <c r="I5" i="30"/>
  <c r="F5" i="30"/>
  <c r="I7" i="30"/>
  <c r="F7" i="30"/>
  <c r="F4" i="30"/>
  <c r="G38" i="29"/>
  <c r="D38" i="29"/>
  <c r="F24" i="29"/>
  <c r="I33" i="29" l="1"/>
  <c r="I35" i="29"/>
  <c r="I26" i="29"/>
  <c r="F16" i="29"/>
  <c r="F8" i="29"/>
  <c r="F28" i="29" l="1"/>
  <c r="F3" i="29" l="1"/>
  <c r="F30" i="29" l="1"/>
  <c r="F31" i="29"/>
  <c r="I34" i="29"/>
  <c r="I9" i="29"/>
  <c r="F38" i="29"/>
  <c r="F32" i="29"/>
  <c r="F21" i="29"/>
  <c r="F36" i="29"/>
  <c r="I31" i="29"/>
  <c r="I30" i="29"/>
  <c r="I20" i="29"/>
  <c r="F20" i="29"/>
  <c r="I23" i="29"/>
  <c r="F23" i="29"/>
  <c r="I6" i="29"/>
  <c r="I11" i="29"/>
  <c r="F11" i="29"/>
  <c r="F29" i="29"/>
  <c r="I25" i="29"/>
  <c r="F25" i="29"/>
  <c r="I22" i="29"/>
  <c r="F22" i="29"/>
  <c r="I28" i="29"/>
  <c r="I18" i="29"/>
  <c r="F18" i="29"/>
  <c r="I24" i="29"/>
  <c r="I19" i="29"/>
  <c r="F19" i="29"/>
  <c r="I14" i="29"/>
  <c r="F14" i="29"/>
  <c r="I16" i="29"/>
  <c r="I17" i="29"/>
  <c r="F17" i="29"/>
  <c r="I13" i="29"/>
  <c r="F13" i="29"/>
  <c r="I12" i="29"/>
  <c r="F12" i="29"/>
  <c r="I10" i="29"/>
  <c r="F10" i="29"/>
  <c r="I8" i="29"/>
  <c r="I5" i="29"/>
  <c r="F5" i="29"/>
  <c r="I4" i="29"/>
  <c r="F4" i="29"/>
  <c r="G39" i="28"/>
  <c r="D39" i="28"/>
  <c r="I30" i="28" l="1"/>
  <c r="I37" i="28"/>
  <c r="I24" i="28"/>
  <c r="F36" i="28" l="1"/>
  <c r="F23" i="28"/>
  <c r="F20" i="28"/>
  <c r="F4" i="28"/>
  <c r="F5" i="28"/>
  <c r="F7" i="28" l="1"/>
  <c r="F10" i="28"/>
  <c r="I3" i="28" l="1"/>
  <c r="I11" i="28"/>
  <c r="I28" i="28"/>
  <c r="I18" i="28"/>
  <c r="I32" i="28"/>
  <c r="I34" i="28" l="1"/>
  <c r="I29" i="28"/>
  <c r="I35" i="28" l="1"/>
  <c r="I15" i="28"/>
  <c r="F39" i="28" l="1"/>
  <c r="F35" i="28"/>
  <c r="I36" i="28"/>
  <c r="F31" i="28"/>
  <c r="I26" i="28"/>
  <c r="F26" i="28"/>
  <c r="I38" i="28"/>
  <c r="F38" i="28"/>
  <c r="I27" i="28"/>
  <c r="F27" i="28"/>
  <c r="I6" i="28"/>
  <c r="F33" i="28"/>
  <c r="F16" i="28"/>
  <c r="I23" i="28"/>
  <c r="I17" i="28"/>
  <c r="F17" i="28"/>
  <c r="I21" i="28"/>
  <c r="F21" i="28"/>
  <c r="I19" i="28"/>
  <c r="F19" i="28"/>
  <c r="I25" i="28"/>
  <c r="F25" i="28"/>
  <c r="I20" i="28"/>
  <c r="I12" i="28"/>
  <c r="F12" i="28"/>
  <c r="I13" i="28"/>
  <c r="F13" i="28"/>
  <c r="F22" i="28"/>
  <c r="I14" i="28"/>
  <c r="F14" i="28"/>
  <c r="I10" i="28"/>
  <c r="I7" i="28"/>
  <c r="I9" i="28"/>
  <c r="F9" i="28"/>
  <c r="I8" i="28"/>
  <c r="F8" i="28"/>
  <c r="I5" i="28"/>
  <c r="I4" i="28"/>
  <c r="G46" i="27"/>
  <c r="D46" i="27"/>
  <c r="I33" i="27"/>
  <c r="I29" i="27"/>
  <c r="I25" i="27"/>
  <c r="I31" i="27"/>
  <c r="I44" i="27"/>
  <c r="F17" i="27"/>
  <c r="F5" i="27"/>
  <c r="I8" i="27"/>
  <c r="F45" i="27" l="1"/>
  <c r="F32" i="27" l="1"/>
  <c r="I38" i="27"/>
  <c r="I37" i="27"/>
  <c r="I34" i="27"/>
  <c r="I18" i="27"/>
  <c r="I23" i="27"/>
  <c r="F9" i="27"/>
  <c r="F26" i="27"/>
  <c r="I39" i="27"/>
  <c r="I43" i="27" l="1"/>
  <c r="F42" i="27" l="1"/>
  <c r="F46" i="27"/>
  <c r="I45" i="27"/>
  <c r="I36" i="27"/>
  <c r="F36" i="27"/>
  <c r="F41" i="27"/>
  <c r="F35" i="27"/>
  <c r="I22" i="27"/>
  <c r="F22" i="27"/>
  <c r="I40" i="27"/>
  <c r="F40" i="27"/>
  <c r="I13" i="27"/>
  <c r="I32" i="27"/>
  <c r="I30" i="27"/>
  <c r="F30" i="27"/>
  <c r="I21" i="27"/>
  <c r="F21" i="27"/>
  <c r="I28" i="27"/>
  <c r="F28" i="27"/>
  <c r="I24" i="27"/>
  <c r="F24" i="27"/>
  <c r="I4" i="27"/>
  <c r="F27" i="27"/>
  <c r="I7" i="27"/>
  <c r="I14" i="27"/>
  <c r="F14" i="27"/>
  <c r="I15" i="27"/>
  <c r="F15" i="27"/>
  <c r="I26" i="27"/>
  <c r="F19" i="27"/>
  <c r="I11" i="27"/>
  <c r="F11" i="27"/>
  <c r="F10" i="27"/>
  <c r="I17" i="27"/>
  <c r="I3" i="27"/>
  <c r="I16" i="27"/>
  <c r="F16" i="27"/>
  <c r="I9" i="27"/>
  <c r="I12" i="27"/>
  <c r="F12" i="27"/>
  <c r="I6" i="27"/>
  <c r="F6" i="27"/>
  <c r="I5" i="27"/>
  <c r="G41" i="26"/>
  <c r="D41" i="26"/>
  <c r="I29" i="26" l="1"/>
  <c r="F34" i="26"/>
  <c r="F5" i="26" l="1"/>
  <c r="F29" i="26" l="1"/>
  <c r="I18" i="26" l="1"/>
  <c r="I16" i="26" l="1"/>
  <c r="I33" i="26" l="1"/>
  <c r="I24" i="26" l="1"/>
  <c r="I40" i="26"/>
  <c r="I28" i="26"/>
  <c r="I37" i="26"/>
  <c r="I8" i="26"/>
  <c r="I38" i="26"/>
  <c r="I9" i="26"/>
  <c r="I13" i="26"/>
  <c r="F20" i="26"/>
  <c r="I26" i="26" l="1"/>
  <c r="F17" i="26"/>
  <c r="F10" i="26"/>
  <c r="I5" i="26"/>
  <c r="I4" i="26"/>
  <c r="I11" i="26"/>
  <c r="I20" i="26"/>
  <c r="I15" i="26"/>
  <c r="I14" i="26"/>
  <c r="I3" i="26"/>
  <c r="I19" i="26"/>
  <c r="I6" i="26"/>
  <c r="I23" i="26"/>
  <c r="I27" i="26"/>
  <c r="I25" i="26"/>
  <c r="I22" i="26"/>
  <c r="I32" i="26"/>
  <c r="I30" i="26"/>
  <c r="I36" i="26"/>
  <c r="I39" i="26"/>
  <c r="F41" i="26"/>
  <c r="F35" i="26"/>
  <c r="F39" i="26"/>
  <c r="F31" i="26"/>
  <c r="F36" i="26"/>
  <c r="F30" i="26"/>
  <c r="F32" i="26"/>
  <c r="F22" i="26"/>
  <c r="F25" i="26"/>
  <c r="F27" i="26"/>
  <c r="F23" i="26"/>
  <c r="F19" i="26"/>
  <c r="F14" i="26"/>
  <c r="F15" i="26"/>
  <c r="F11" i="26"/>
  <c r="F12" i="26"/>
  <c r="F4" i="26"/>
  <c r="I7" i="26"/>
  <c r="F7" i="26"/>
  <c r="I33" i="25" l="1"/>
  <c r="I34" i="25"/>
  <c r="I35" i="25"/>
  <c r="I36" i="25"/>
  <c r="I32" i="25"/>
  <c r="G37" i="25" l="1"/>
  <c r="D37" i="25"/>
  <c r="F19" i="25"/>
  <c r="I13" i="25"/>
  <c r="F27" i="25" l="1"/>
  <c r="F3" i="25"/>
  <c r="F33" i="25" l="1"/>
  <c r="I28" i="25" l="1"/>
  <c r="F37" i="25"/>
  <c r="F29" i="25"/>
  <c r="I26" i="25"/>
  <c r="F26" i="25"/>
  <c r="I30" i="25"/>
  <c r="F30" i="25"/>
  <c r="F32" i="25"/>
  <c r="I25" i="25"/>
  <c r="F25" i="25"/>
  <c r="I17" i="25"/>
  <c r="I24" i="25"/>
  <c r="F24" i="25"/>
  <c r="I21" i="25"/>
  <c r="F21" i="25"/>
  <c r="I22" i="25"/>
  <c r="F22" i="25"/>
  <c r="I18" i="25"/>
  <c r="F18" i="25"/>
  <c r="I19" i="25"/>
  <c r="I12" i="25"/>
  <c r="F12" i="25"/>
  <c r="I20" i="25"/>
  <c r="F20" i="25"/>
  <c r="I14" i="25"/>
  <c r="F14" i="25"/>
  <c r="I10" i="25"/>
  <c r="F10" i="25"/>
  <c r="I7" i="25"/>
  <c r="F7" i="25"/>
  <c r="I6" i="25"/>
  <c r="F6" i="25"/>
  <c r="I5" i="25"/>
  <c r="F5" i="25"/>
  <c r="I3" i="25"/>
  <c r="G31" i="24"/>
  <c r="D31" i="24"/>
  <c r="F22" i="24" l="1"/>
  <c r="F4" i="24"/>
  <c r="F6" i="24"/>
  <c r="F16" i="24" l="1"/>
  <c r="I3" i="24"/>
  <c r="I11" i="24"/>
  <c r="I19" i="24"/>
  <c r="I20" i="24"/>
  <c r="F5" i="24" l="1"/>
  <c r="F7" i="24"/>
  <c r="F8" i="24"/>
  <c r="F9" i="24"/>
  <c r="F10" i="24"/>
  <c r="F12" i="24"/>
  <c r="F13" i="24"/>
  <c r="F15" i="24"/>
  <c r="F17" i="24"/>
  <c r="F18" i="24"/>
  <c r="F29" i="24"/>
  <c r="F23" i="24"/>
  <c r="F24" i="24"/>
  <c r="F21" i="24"/>
  <c r="F26" i="24"/>
  <c r="F25" i="24"/>
  <c r="F30" i="24"/>
  <c r="F31" i="24"/>
  <c r="I5" i="24"/>
  <c r="I25" i="24"/>
  <c r="I26" i="24"/>
  <c r="I21" i="24"/>
  <c r="I24" i="24"/>
  <c r="I23" i="24"/>
  <c r="I29" i="24"/>
  <c r="I18" i="24"/>
  <c r="I17" i="24"/>
  <c r="I15" i="24"/>
  <c r="I22" i="24"/>
  <c r="I13" i="24"/>
  <c r="I12" i="24"/>
  <c r="I10" i="24"/>
  <c r="I9" i="24"/>
  <c r="I8" i="24"/>
  <c r="I7" i="24"/>
  <c r="I6" i="24"/>
  <c r="I4" i="24"/>
  <c r="F28" i="23"/>
  <c r="F20" i="23"/>
  <c r="F12" i="23" l="1"/>
  <c r="F21" i="23" l="1"/>
  <c r="I24" i="23"/>
  <c r="I32" i="23"/>
  <c r="I14" i="23"/>
  <c r="F13" i="23"/>
  <c r="I19" i="23"/>
  <c r="I5" i="23"/>
  <c r="I29" i="23"/>
  <c r="I4" i="23" l="1"/>
  <c r="I6" i="23"/>
  <c r="F3" i="23" l="1"/>
  <c r="G35" i="23"/>
  <c r="D35" i="23"/>
  <c r="F34" i="23"/>
  <c r="F31" i="23"/>
  <c r="I27" i="23"/>
  <c r="F27" i="23"/>
  <c r="I28" i="23"/>
  <c r="I23" i="23"/>
  <c r="F23" i="23"/>
  <c r="I26" i="23"/>
  <c r="F26" i="23"/>
  <c r="F33" i="23"/>
  <c r="I25" i="23"/>
  <c r="F25" i="23"/>
  <c r="I22" i="23"/>
  <c r="F22" i="23"/>
  <c r="I21" i="23"/>
  <c r="I16" i="23"/>
  <c r="F16" i="23"/>
  <c r="I20" i="23"/>
  <c r="I18" i="23"/>
  <c r="F18" i="23"/>
  <c r="I15" i="23"/>
  <c r="F15" i="23"/>
  <c r="I10" i="23"/>
  <c r="F10" i="23"/>
  <c r="I13" i="23"/>
  <c r="I17" i="23"/>
  <c r="F17" i="23"/>
  <c r="I12" i="23"/>
  <c r="I8" i="23"/>
  <c r="F8" i="23"/>
  <c r="I9" i="23"/>
  <c r="F9" i="23"/>
  <c r="I7" i="23"/>
  <c r="F7" i="23"/>
  <c r="I3" i="23"/>
  <c r="F35" i="23" l="1"/>
  <c r="I4" i="22"/>
  <c r="I5" i="22"/>
  <c r="I6" i="22"/>
  <c r="I7" i="22"/>
  <c r="I8" i="22"/>
  <c r="I9" i="22"/>
  <c r="I10" i="22"/>
  <c r="I11" i="22"/>
  <c r="I12" i="22"/>
  <c r="I13" i="22"/>
  <c r="I14" i="22"/>
  <c r="I15" i="22"/>
  <c r="I16" i="22"/>
  <c r="I18" i="22"/>
  <c r="I19" i="22"/>
  <c r="I17" i="22"/>
  <c r="F20" i="22" l="1"/>
  <c r="I26" i="22"/>
  <c r="I3" i="22"/>
  <c r="F8" i="22"/>
  <c r="F23" i="22"/>
  <c r="F25" i="22" l="1"/>
  <c r="I29" i="22"/>
  <c r="F6" i="22" l="1"/>
  <c r="G37" i="22" l="1"/>
  <c r="D37" i="22"/>
  <c r="F37" i="22" s="1"/>
  <c r="F32" i="22"/>
  <c r="I35" i="22"/>
  <c r="F35" i="22"/>
  <c r="I31" i="22"/>
  <c r="F31" i="22"/>
  <c r="I36" i="22"/>
  <c r="F36" i="22"/>
  <c r="F28" i="22"/>
  <c r="F30" i="22"/>
  <c r="I34" i="22"/>
  <c r="F34" i="22"/>
  <c r="F22" i="22"/>
  <c r="I27" i="22"/>
  <c r="F27" i="22"/>
  <c r="I33" i="22"/>
  <c r="F33" i="22"/>
  <c r="I24" i="22"/>
  <c r="F24" i="22"/>
  <c r="I23" i="22"/>
  <c r="I21" i="22"/>
  <c r="F21" i="22"/>
  <c r="F19" i="22"/>
  <c r="F18" i="22"/>
  <c r="F15" i="22"/>
  <c r="F12" i="22"/>
  <c r="F11" i="22"/>
  <c r="F10" i="22"/>
  <c r="F5" i="22"/>
  <c r="F4" i="22"/>
  <c r="G39" i="21"/>
  <c r="D39" i="21"/>
  <c r="I15" i="21" l="1"/>
  <c r="F36" i="21"/>
  <c r="I37" i="21" l="1"/>
  <c r="I25" i="21"/>
  <c r="I27" i="21"/>
  <c r="F3" i="21" l="1"/>
  <c r="I20" i="21"/>
  <c r="F9" i="21" l="1"/>
  <c r="F11" i="21"/>
  <c r="I30" i="21" l="1"/>
  <c r="I4" i="21"/>
  <c r="I6" i="21"/>
  <c r="I18" i="21"/>
  <c r="I31" i="21"/>
  <c r="F39" i="21" l="1"/>
  <c r="F31" i="21"/>
  <c r="F38" i="21"/>
  <c r="I35" i="21"/>
  <c r="F35" i="21"/>
  <c r="F26" i="21"/>
  <c r="F28" i="21"/>
  <c r="F33" i="21"/>
  <c r="F34" i="21"/>
  <c r="I36" i="21"/>
  <c r="F32" i="21"/>
  <c r="F23" i="21"/>
  <c r="F29" i="21"/>
  <c r="I22" i="21"/>
  <c r="F22" i="21"/>
  <c r="I21" i="21"/>
  <c r="F21" i="21"/>
  <c r="I17" i="21"/>
  <c r="F17" i="21"/>
  <c r="I24" i="21"/>
  <c r="F24" i="21"/>
  <c r="I19" i="21"/>
  <c r="F19" i="21"/>
  <c r="I10" i="21"/>
  <c r="F10" i="21"/>
  <c r="I16" i="21"/>
  <c r="F16" i="21"/>
  <c r="I7" i="21"/>
  <c r="F7" i="21"/>
  <c r="I13" i="21"/>
  <c r="F13" i="21"/>
  <c r="I8" i="21"/>
  <c r="F8" i="21"/>
  <c r="I5" i="21"/>
  <c r="F5" i="21"/>
  <c r="I3" i="21"/>
  <c r="E38" i="20"/>
  <c r="G38" i="20"/>
  <c r="D38" i="20"/>
  <c r="I15" i="20"/>
  <c r="I34" i="20"/>
  <c r="I23" i="20"/>
  <c r="I3" i="20" l="1"/>
  <c r="I28" i="20"/>
  <c r="I7" i="20"/>
  <c r="F14" i="20" l="1"/>
  <c r="F13" i="20"/>
  <c r="I11" i="20" l="1"/>
  <c r="F36" i="20" l="1"/>
  <c r="I6" i="20"/>
  <c r="F29" i="20" l="1"/>
  <c r="I30" i="20" l="1"/>
  <c r="F20" i="20"/>
  <c r="I33" i="20"/>
  <c r="F33" i="20"/>
  <c r="I32" i="20"/>
  <c r="F32" i="20"/>
  <c r="F35" i="20"/>
  <c r="I22" i="20"/>
  <c r="F22" i="20"/>
  <c r="I31" i="20"/>
  <c r="F31" i="20"/>
  <c r="I37" i="20"/>
  <c r="F37" i="20"/>
  <c r="F27" i="20"/>
  <c r="I29" i="20"/>
  <c r="F24" i="20"/>
  <c r="I25" i="20"/>
  <c r="F25" i="20"/>
  <c r="I18" i="20"/>
  <c r="F18" i="20"/>
  <c r="I17" i="20"/>
  <c r="F17" i="20"/>
  <c r="F21" i="20"/>
  <c r="I19" i="20"/>
  <c r="F19" i="20"/>
  <c r="F26" i="20"/>
  <c r="I16" i="20"/>
  <c r="F16" i="20"/>
  <c r="I13" i="20"/>
  <c r="I10" i="20"/>
  <c r="F10" i="20"/>
  <c r="I14" i="20"/>
  <c r="I8" i="20"/>
  <c r="F8" i="20"/>
  <c r="I12" i="20"/>
  <c r="F12" i="20"/>
  <c r="I5" i="20"/>
  <c r="F5" i="20"/>
  <c r="I9" i="20"/>
  <c r="F9" i="20"/>
  <c r="I4" i="20"/>
  <c r="F4" i="20"/>
  <c r="G41" i="19"/>
  <c r="E41" i="19"/>
  <c r="I39" i="19"/>
  <c r="I25" i="19"/>
  <c r="F38" i="20" l="1"/>
  <c r="I34" i="19"/>
  <c r="I32" i="19"/>
  <c r="I26" i="19"/>
  <c r="I33" i="19"/>
  <c r="I31" i="19" l="1"/>
  <c r="F14" i="19"/>
  <c r="F9" i="19"/>
  <c r="F27" i="19"/>
  <c r="F37" i="19" l="1"/>
  <c r="F13" i="19" l="1"/>
  <c r="F29" i="19"/>
  <c r="F34" i="19"/>
  <c r="I28" i="19"/>
  <c r="I12" i="19"/>
  <c r="I20" i="19"/>
  <c r="D41" i="19"/>
  <c r="F41" i="19" s="1"/>
  <c r="F35" i="19"/>
  <c r="F32" i="19"/>
  <c r="I38" i="19"/>
  <c r="F38" i="19"/>
  <c r="I37" i="19"/>
  <c r="F36" i="19"/>
  <c r="I30" i="19"/>
  <c r="F30" i="19"/>
  <c r="I23" i="19"/>
  <c r="F23" i="19"/>
  <c r="F24" i="19"/>
  <c r="I10" i="19"/>
  <c r="I18" i="19"/>
  <c r="F18" i="19"/>
  <c r="I22" i="19"/>
  <c r="F22" i="19"/>
  <c r="I8" i="19"/>
  <c r="I17" i="19"/>
  <c r="F17" i="19"/>
  <c r="F21" i="19"/>
  <c r="F15" i="19"/>
  <c r="I11" i="19"/>
  <c r="F11" i="19"/>
  <c r="I14" i="19"/>
  <c r="I6" i="19"/>
  <c r="F6" i="19"/>
  <c r="I9" i="19"/>
  <c r="I7" i="19"/>
  <c r="F7" i="19"/>
  <c r="I4" i="19"/>
  <c r="F4" i="19"/>
  <c r="I5" i="19"/>
  <c r="F5" i="19"/>
  <c r="I3" i="19"/>
  <c r="F3" i="19"/>
  <c r="F36" i="17" l="1"/>
  <c r="F13" i="17" l="1"/>
  <c r="F35" i="17"/>
  <c r="I21" i="17" l="1"/>
  <c r="I23" i="17"/>
  <c r="F6" i="17"/>
  <c r="I32" i="17" l="1"/>
  <c r="I17" i="17" l="1"/>
  <c r="I22" i="17"/>
  <c r="G37" i="17"/>
  <c r="D37" i="17"/>
  <c r="F37" i="17" s="1"/>
  <c r="F29" i="17"/>
  <c r="I28" i="17"/>
  <c r="F28" i="17"/>
  <c r="I33" i="17"/>
  <c r="F33" i="17"/>
  <c r="F25" i="17"/>
  <c r="I26" i="17"/>
  <c r="F26" i="17"/>
  <c r="I30" i="17"/>
  <c r="F30" i="17"/>
  <c r="I27" i="17"/>
  <c r="F27" i="17"/>
  <c r="I20" i="17"/>
  <c r="F20" i="17"/>
  <c r="I9" i="17"/>
  <c r="I19" i="17"/>
  <c r="F19" i="17"/>
  <c r="I7" i="17"/>
  <c r="I15" i="17"/>
  <c r="F15" i="17"/>
  <c r="I18" i="17"/>
  <c r="F18" i="17"/>
  <c r="F14" i="17"/>
  <c r="I10" i="17"/>
  <c r="F10" i="17"/>
  <c r="I8" i="17"/>
  <c r="F8" i="17"/>
  <c r="I5" i="17"/>
  <c r="F5" i="17"/>
  <c r="I6" i="17"/>
  <c r="I4" i="17"/>
  <c r="F4" i="17"/>
  <c r="I3" i="17"/>
  <c r="F3" i="17"/>
  <c r="F10" i="16"/>
  <c r="G44" i="16"/>
  <c r="D44" i="16"/>
  <c r="I25" i="16" l="1"/>
  <c r="I37" i="16"/>
  <c r="F25" i="16" l="1"/>
  <c r="F3" i="16" l="1"/>
  <c r="F4" i="16"/>
  <c r="F11" i="15"/>
  <c r="F14" i="16"/>
  <c r="F8" i="16" l="1"/>
  <c r="F11" i="16"/>
  <c r="I13" i="16" l="1"/>
  <c r="I15" i="16"/>
  <c r="I38" i="16"/>
  <c r="F38" i="16"/>
  <c r="F41" i="16"/>
  <c r="F32" i="16"/>
  <c r="I43" i="16"/>
  <c r="F43" i="16"/>
  <c r="F40" i="16"/>
  <c r="F26" i="16"/>
  <c r="I18" i="16"/>
  <c r="F18" i="16"/>
  <c r="I33" i="16"/>
  <c r="F33" i="16"/>
  <c r="I34" i="16"/>
  <c r="F34" i="16"/>
  <c r="I23" i="16"/>
  <c r="F23" i="16"/>
  <c r="I19" i="16"/>
  <c r="F19" i="16"/>
  <c r="I5" i="16"/>
  <c r="I16" i="16"/>
  <c r="F16" i="16"/>
  <c r="I14" i="16"/>
  <c r="I12" i="16"/>
  <c r="F12" i="16"/>
  <c r="I11" i="16"/>
  <c r="I8" i="16"/>
  <c r="I7" i="16"/>
  <c r="F7" i="16"/>
  <c r="I6" i="16"/>
  <c r="F6" i="16"/>
  <c r="I4" i="16"/>
  <c r="I3" i="16"/>
  <c r="G33" i="15"/>
  <c r="D33" i="15"/>
  <c r="I29" i="15"/>
  <c r="F15" i="15"/>
  <c r="F44" i="16" l="1"/>
  <c r="I20" i="15"/>
  <c r="F9" i="15" l="1"/>
  <c r="F10" i="15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9" i="14"/>
  <c r="I26" i="14"/>
  <c r="I27" i="14"/>
  <c r="I10" i="15"/>
  <c r="I11" i="15"/>
  <c r="I12" i="15"/>
  <c r="I14" i="15"/>
  <c r="I15" i="15"/>
  <c r="I18" i="15"/>
  <c r="I8" i="15"/>
  <c r="I21" i="15"/>
  <c r="I7" i="15"/>
  <c r="I26" i="15"/>
  <c r="I19" i="15"/>
  <c r="I32" i="15"/>
  <c r="I13" i="15" l="1"/>
  <c r="F32" i="15"/>
  <c r="F31" i="15"/>
  <c r="F27" i="15"/>
  <c r="F19" i="15"/>
  <c r="F26" i="15"/>
  <c r="F23" i="15"/>
  <c r="F22" i="15"/>
  <c r="F17" i="15"/>
  <c r="F21" i="15"/>
  <c r="F18" i="15"/>
  <c r="F14" i="15"/>
  <c r="F12" i="15"/>
  <c r="I6" i="15"/>
  <c r="F6" i="15"/>
  <c r="I5" i="15"/>
  <c r="F5" i="15"/>
  <c r="I3" i="15"/>
  <c r="I4" i="15"/>
  <c r="F4" i="15"/>
  <c r="G40" i="14"/>
  <c r="E40" i="14"/>
  <c r="D40" i="14"/>
  <c r="F33" i="15" l="1"/>
  <c r="I36" i="14"/>
  <c r="I25" i="14"/>
  <c r="F31" i="14"/>
  <c r="I23" i="14"/>
  <c r="F11" i="14"/>
  <c r="F22" i="14" l="1"/>
  <c r="F37" i="14"/>
  <c r="I4" i="14" l="1"/>
  <c r="I38" i="14"/>
  <c r="F38" i="14"/>
  <c r="I37" i="14"/>
  <c r="F33" i="14"/>
  <c r="I31" i="14"/>
  <c r="F28" i="14"/>
  <c r="F35" i="14"/>
  <c r="F27" i="14"/>
  <c r="F24" i="14"/>
  <c r="F26" i="14"/>
  <c r="F21" i="14"/>
  <c r="F19" i="14"/>
  <c r="F30" i="14"/>
  <c r="F32" i="14"/>
  <c r="F15" i="14"/>
  <c r="F13" i="14"/>
  <c r="F10" i="14"/>
  <c r="I8" i="14"/>
  <c r="F8" i="14"/>
  <c r="I6" i="14"/>
  <c r="F6" i="14"/>
  <c r="I5" i="14"/>
  <c r="F5" i="14"/>
  <c r="I3" i="14"/>
  <c r="F3" i="14"/>
  <c r="I25" i="13"/>
  <c r="F3" i="13"/>
  <c r="F5" i="13"/>
  <c r="F40" i="14" l="1"/>
  <c r="F6" i="13"/>
  <c r="F7" i="13"/>
  <c r="I17" i="13"/>
  <c r="I30" i="13"/>
  <c r="I20" i="13"/>
  <c r="I33" i="13"/>
  <c r="I8" i="13"/>
  <c r="F14" i="13" l="1"/>
  <c r="F15" i="13"/>
  <c r="I36" i="13"/>
  <c r="G38" i="13" l="1"/>
  <c r="D38" i="13"/>
  <c r="F38" i="13" s="1"/>
  <c r="F28" i="13"/>
  <c r="I37" i="13"/>
  <c r="F37" i="13"/>
  <c r="F33" i="13"/>
  <c r="F32" i="13"/>
  <c r="F29" i="13"/>
  <c r="I21" i="13"/>
  <c r="F21" i="13"/>
  <c r="I35" i="13"/>
  <c r="F35" i="13"/>
  <c r="I27" i="13"/>
  <c r="F27" i="13"/>
  <c r="F25" i="13"/>
  <c r="I15" i="13"/>
  <c r="F24" i="13"/>
  <c r="I12" i="13"/>
  <c r="F12" i="13"/>
  <c r="I18" i="13"/>
  <c r="F18" i="13"/>
  <c r="I16" i="13"/>
  <c r="F16" i="13"/>
  <c r="I11" i="13"/>
  <c r="F11" i="13"/>
  <c r="F13" i="13"/>
  <c r="I9" i="13"/>
  <c r="F9" i="13"/>
  <c r="I7" i="13"/>
  <c r="I6" i="13"/>
  <c r="I5" i="13"/>
  <c r="I3" i="13"/>
  <c r="I4" i="13"/>
  <c r="F4" i="13"/>
  <c r="G39" i="12"/>
  <c r="D39" i="12"/>
  <c r="I22" i="12"/>
  <c r="I34" i="12"/>
  <c r="F34" i="12"/>
  <c r="I30" i="12"/>
  <c r="I20" i="12"/>
  <c r="I23" i="12"/>
  <c r="I4" i="12"/>
  <c r="I27" i="12"/>
  <c r="I32" i="12" l="1"/>
  <c r="I21" i="12"/>
  <c r="F10" i="12"/>
  <c r="F13" i="12"/>
  <c r="I29" i="12"/>
  <c r="I35" i="12" l="1"/>
  <c r="F19" i="12" l="1"/>
  <c r="F28" i="12"/>
  <c r="F22" i="12"/>
  <c r="I16" i="12"/>
  <c r="F39" i="12" l="1"/>
  <c r="I37" i="12"/>
  <c r="F37" i="12"/>
  <c r="F38" i="12"/>
  <c r="I36" i="12"/>
  <c r="F36" i="12"/>
  <c r="F24" i="12"/>
  <c r="I17" i="12"/>
  <c r="F17" i="12"/>
  <c r="I18" i="12"/>
  <c r="F18" i="12"/>
  <c r="I7" i="12"/>
  <c r="I6" i="12"/>
  <c r="I19" i="12"/>
  <c r="I14" i="12"/>
  <c r="F14" i="12"/>
  <c r="F15" i="12"/>
  <c r="I11" i="12"/>
  <c r="F11" i="12"/>
  <c r="I12" i="12"/>
  <c r="F12" i="12"/>
  <c r="I13" i="12"/>
  <c r="I8" i="12"/>
  <c r="F8" i="12"/>
  <c r="I5" i="12"/>
  <c r="F5" i="12"/>
  <c r="I3" i="12"/>
  <c r="F3" i="12"/>
  <c r="I26" i="11"/>
  <c r="I27" i="11"/>
  <c r="I17" i="11"/>
  <c r="I19" i="11"/>
  <c r="I18" i="11"/>
  <c r="F3" i="11"/>
  <c r="I12" i="11"/>
  <c r="I14" i="11" l="1"/>
  <c r="I13" i="11"/>
  <c r="F10" i="11" l="1"/>
  <c r="G31" i="11" l="1"/>
  <c r="D31" i="11"/>
  <c r="F31" i="11" s="1"/>
  <c r="I28" i="11"/>
  <c r="F28" i="11"/>
  <c r="I30" i="11"/>
  <c r="F30" i="11"/>
  <c r="I24" i="11"/>
  <c r="F24" i="11"/>
  <c r="I23" i="11"/>
  <c r="F23" i="11"/>
  <c r="F25" i="11"/>
  <c r="I7" i="11"/>
  <c r="I29" i="11"/>
  <c r="F29" i="11"/>
  <c r="I20" i="11"/>
  <c r="F20" i="11"/>
  <c r="I21" i="11"/>
  <c r="F21" i="11"/>
  <c r="F22" i="11"/>
  <c r="I8" i="11"/>
  <c r="F8" i="11"/>
  <c r="I11" i="11"/>
  <c r="F11" i="11"/>
  <c r="I9" i="11"/>
  <c r="F9" i="11"/>
  <c r="I5" i="11"/>
  <c r="F5" i="11"/>
  <c r="I4" i="11"/>
  <c r="F4" i="11"/>
  <c r="I3" i="11"/>
  <c r="D30" i="10"/>
  <c r="I16" i="10"/>
  <c r="I18" i="10"/>
  <c r="I17" i="10"/>
  <c r="F21" i="10"/>
  <c r="F5" i="10"/>
  <c r="F13" i="10" l="1"/>
  <c r="F11" i="10" l="1"/>
  <c r="F7" i="10"/>
  <c r="F19" i="10"/>
  <c r="I10" i="10"/>
  <c r="G30" i="10" l="1"/>
  <c r="I24" i="10"/>
  <c r="F24" i="10"/>
  <c r="I29" i="10"/>
  <c r="F29" i="10"/>
  <c r="I22" i="10"/>
  <c r="F22" i="10"/>
  <c r="I20" i="10"/>
  <c r="F20" i="10"/>
  <c r="I21" i="10"/>
  <c r="I15" i="10"/>
  <c r="F15" i="10"/>
  <c r="I13" i="10"/>
  <c r="I14" i="10"/>
  <c r="F14" i="10"/>
  <c r="I7" i="10"/>
  <c r="I9" i="10"/>
  <c r="F9" i="10"/>
  <c r="I8" i="10"/>
  <c r="F8" i="10"/>
  <c r="I5" i="10"/>
  <c r="I3" i="10"/>
  <c r="I4" i="10"/>
  <c r="F4" i="10"/>
  <c r="G32" i="8"/>
  <c r="D32" i="8"/>
  <c r="F30" i="8"/>
  <c r="I29" i="8"/>
  <c r="F29" i="8"/>
  <c r="F30" i="10" l="1"/>
  <c r="I13" i="8"/>
  <c r="I10" i="8"/>
  <c r="I4" i="8"/>
  <c r="I17" i="8"/>
  <c r="I20" i="8" l="1"/>
  <c r="I16" i="8" l="1"/>
  <c r="I23" i="8" l="1"/>
  <c r="F12" i="8"/>
  <c r="F32" i="8" l="1"/>
  <c r="I31" i="8"/>
  <c r="F31" i="8"/>
  <c r="I21" i="8"/>
  <c r="F21" i="8"/>
  <c r="I24" i="8"/>
  <c r="F24" i="8"/>
  <c r="I25" i="8"/>
  <c r="F25" i="8"/>
  <c r="I22" i="8"/>
  <c r="F22" i="8"/>
  <c r="I28" i="8"/>
  <c r="F28" i="8"/>
  <c r="I9" i="8"/>
  <c r="I26" i="8"/>
  <c r="F26" i="8"/>
  <c r="I27" i="8"/>
  <c r="F27" i="8"/>
  <c r="I5" i="8"/>
  <c r="I18" i="8"/>
  <c r="F18" i="8"/>
  <c r="I19" i="8"/>
  <c r="F19" i="8"/>
  <c r="I15" i="8"/>
  <c r="F15" i="8"/>
  <c r="I12" i="8"/>
  <c r="I14" i="8"/>
  <c r="F14" i="8"/>
  <c r="I7" i="8"/>
  <c r="F7" i="8"/>
  <c r="I6" i="8"/>
  <c r="F6" i="8"/>
  <c r="I3" i="8"/>
  <c r="F3" i="8"/>
  <c r="G41" i="6"/>
  <c r="D41" i="6"/>
  <c r="I22" i="6"/>
  <c r="F28" i="6" l="1"/>
  <c r="I38" i="6"/>
  <c r="I33" i="6"/>
  <c r="I15" i="6"/>
  <c r="I35" i="6"/>
  <c r="F3" i="6"/>
  <c r="I11" i="6" l="1"/>
  <c r="I20" i="6"/>
  <c r="F27" i="6" l="1"/>
  <c r="F23" i="6"/>
  <c r="F29" i="6"/>
  <c r="F19" i="6"/>
  <c r="I34" i="6"/>
  <c r="I25" i="6"/>
  <c r="I26" i="6"/>
  <c r="F41" i="6"/>
  <c r="I40" i="6"/>
  <c r="F40" i="6"/>
  <c r="I7" i="6"/>
  <c r="F38" i="6"/>
  <c r="I36" i="6"/>
  <c r="F36" i="6"/>
  <c r="F33" i="6"/>
  <c r="I27" i="6"/>
  <c r="I32" i="6"/>
  <c r="F32" i="6"/>
  <c r="I24" i="6"/>
  <c r="F24" i="6"/>
  <c r="I39" i="6"/>
  <c r="F39" i="6"/>
  <c r="F37" i="6"/>
  <c r="I18" i="6"/>
  <c r="F18" i="6"/>
  <c r="I30" i="6"/>
  <c r="F30" i="6"/>
  <c r="I19" i="6"/>
  <c r="I29" i="6"/>
  <c r="I23" i="6"/>
  <c r="F22" i="6"/>
  <c r="I16" i="6"/>
  <c r="F16" i="6"/>
  <c r="I17" i="6"/>
  <c r="F17" i="6"/>
  <c r="I14" i="6"/>
  <c r="F14" i="6"/>
  <c r="I13" i="6"/>
  <c r="F13" i="6"/>
  <c r="I10" i="6"/>
  <c r="F10" i="6"/>
  <c r="I12" i="6"/>
  <c r="F12" i="6"/>
  <c r="I9" i="6"/>
  <c r="F9" i="6"/>
  <c r="I8" i="6"/>
  <c r="F8" i="6"/>
  <c r="I6" i="6"/>
  <c r="F6" i="6"/>
  <c r="I5" i="6"/>
  <c r="F5" i="6"/>
  <c r="I4" i="6"/>
  <c r="F4" i="6"/>
  <c r="I3" i="6"/>
  <c r="I24" i="5"/>
  <c r="F24" i="5"/>
  <c r="I17" i="5"/>
  <c r="I30" i="5"/>
  <c r="I15" i="5"/>
  <c r="F15" i="5"/>
  <c r="F30" i="5"/>
  <c r="G45" i="5"/>
  <c r="D45" i="5"/>
  <c r="I4" i="5" l="1"/>
  <c r="I5" i="5"/>
  <c r="I6" i="5"/>
  <c r="I7" i="5"/>
  <c r="I8" i="5"/>
  <c r="I9" i="5"/>
  <c r="I10" i="5"/>
  <c r="I11" i="5"/>
  <c r="I12" i="5"/>
  <c r="I13" i="5"/>
  <c r="I14" i="5"/>
  <c r="I16" i="5"/>
  <c r="I18" i="5"/>
  <c r="I19" i="5"/>
  <c r="I20" i="5"/>
  <c r="I21" i="5"/>
  <c r="I22" i="5"/>
  <c r="I23" i="5"/>
  <c r="I25" i="5"/>
  <c r="I26" i="5"/>
  <c r="I27" i="5"/>
  <c r="I28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29" i="5"/>
  <c r="F29" i="5"/>
  <c r="F31" i="5" l="1"/>
  <c r="F23" i="5"/>
  <c r="F37" i="5"/>
  <c r="F4" i="5"/>
  <c r="F6" i="5"/>
  <c r="F18" i="5"/>
  <c r="I3" i="5" l="1"/>
  <c r="F32" i="5"/>
  <c r="F44" i="5"/>
  <c r="F34" i="5"/>
  <c r="F36" i="5"/>
  <c r="F40" i="5"/>
  <c r="F38" i="5"/>
  <c r="F41" i="5"/>
  <c r="F27" i="5"/>
  <c r="F28" i="5"/>
  <c r="F19" i="5"/>
  <c r="F26" i="5"/>
  <c r="F13" i="5"/>
  <c r="F11" i="5"/>
  <c r="F14" i="5"/>
  <c r="F12" i="5"/>
  <c r="F9" i="5"/>
  <c r="F8" i="5"/>
  <c r="F7" i="5"/>
  <c r="F10" i="5"/>
  <c r="F5" i="5"/>
  <c r="E50" i="4"/>
  <c r="G50" i="4"/>
  <c r="D50" i="4"/>
  <c r="F27" i="4"/>
  <c r="I24" i="4"/>
  <c r="F11" i="4"/>
  <c r="I8" i="4"/>
  <c r="I26" i="4"/>
  <c r="F28" i="4"/>
  <c r="F45" i="5" l="1"/>
  <c r="I44" i="4"/>
  <c r="F33" i="4"/>
  <c r="F43" i="4"/>
  <c r="I35" i="4"/>
  <c r="I32" i="4"/>
  <c r="I30" i="4"/>
  <c r="I25" i="4"/>
  <c r="I29" i="4"/>
  <c r="F21" i="4"/>
  <c r="I20" i="4"/>
  <c r="I23" i="4" l="1"/>
  <c r="I19" i="4"/>
  <c r="F39" i="4" l="1"/>
  <c r="F22" i="4"/>
  <c r="F49" i="4" l="1"/>
  <c r="I46" i="4"/>
  <c r="F46" i="4"/>
  <c r="I47" i="4"/>
  <c r="F47" i="4"/>
  <c r="I38" i="4"/>
  <c r="F38" i="4"/>
  <c r="I43" i="4"/>
  <c r="I33" i="4"/>
  <c r="I31" i="4"/>
  <c r="F31" i="4"/>
  <c r="F40" i="4"/>
  <c r="I28" i="4"/>
  <c r="I22" i="4"/>
  <c r="F41" i="4"/>
  <c r="F37" i="4"/>
  <c r="I16" i="4"/>
  <c r="F16" i="4"/>
  <c r="I21" i="4"/>
  <c r="I18" i="4"/>
  <c r="F18" i="4"/>
  <c r="I12" i="4"/>
  <c r="F12" i="4"/>
  <c r="I15" i="4"/>
  <c r="F15" i="4"/>
  <c r="I13" i="4"/>
  <c r="F13" i="4"/>
  <c r="I11" i="4"/>
  <c r="I9" i="4"/>
  <c r="F9" i="4"/>
  <c r="I10" i="4"/>
  <c r="F10" i="4"/>
  <c r="I6" i="4"/>
  <c r="F6" i="4"/>
  <c r="I7" i="4"/>
  <c r="F7" i="4"/>
  <c r="I3" i="4"/>
  <c r="F3" i="4"/>
  <c r="F3" i="3"/>
  <c r="I28" i="3"/>
  <c r="F35" i="3"/>
  <c r="I27" i="3"/>
  <c r="F50" i="4" l="1"/>
  <c r="I31" i="3"/>
  <c r="I16" i="3"/>
  <c r="I23" i="3"/>
  <c r="I20" i="3"/>
  <c r="I32" i="3"/>
  <c r="F9" i="3"/>
  <c r="F4" i="3"/>
  <c r="I10" i="3"/>
  <c r="I18" i="3"/>
  <c r="I26" i="3" l="1"/>
  <c r="I21" i="3" l="1"/>
  <c r="I24" i="3"/>
  <c r="I22" i="3"/>
  <c r="G39" i="3"/>
  <c r="D39" i="3"/>
  <c r="F39" i="3" s="1"/>
  <c r="I34" i="3"/>
  <c r="F34" i="3"/>
  <c r="I36" i="3"/>
  <c r="F36" i="3"/>
  <c r="I30" i="3"/>
  <c r="F30" i="3"/>
  <c r="F25" i="3"/>
  <c r="F38" i="3"/>
  <c r="F29" i="3"/>
  <c r="I33" i="3"/>
  <c r="F33" i="3"/>
  <c r="I8" i="3"/>
  <c r="F19" i="3"/>
  <c r="I15" i="3"/>
  <c r="I17" i="3"/>
  <c r="F17" i="3"/>
  <c r="F37" i="3"/>
  <c r="I13" i="3"/>
  <c r="F13" i="3"/>
  <c r="I12" i="3"/>
  <c r="F12" i="3"/>
  <c r="I14" i="3"/>
  <c r="F14" i="3"/>
  <c r="I6" i="3"/>
  <c r="F6" i="3"/>
  <c r="I7" i="3"/>
  <c r="F7" i="3"/>
  <c r="I9" i="3"/>
  <c r="I5" i="3"/>
  <c r="F5" i="3"/>
  <c r="I4" i="3"/>
  <c r="I3" i="3"/>
  <c r="G38" i="2"/>
  <c r="D38" i="2"/>
  <c r="F38" i="2" s="1"/>
  <c r="I4" i="2"/>
  <c r="I5" i="2"/>
  <c r="I6" i="2"/>
  <c r="I7" i="2"/>
  <c r="I8" i="2"/>
  <c r="I9" i="2"/>
  <c r="I10" i="2"/>
  <c r="I11" i="2"/>
  <c r="I12" i="2"/>
  <c r="I14" i="2"/>
  <c r="I15" i="2"/>
  <c r="I16" i="2"/>
  <c r="I17" i="2"/>
  <c r="I18" i="2"/>
  <c r="I20" i="2"/>
  <c r="I21" i="2"/>
  <c r="I23" i="2"/>
  <c r="I24" i="2"/>
  <c r="I25" i="2"/>
  <c r="I26" i="2"/>
  <c r="I27" i="2"/>
  <c r="I28" i="2"/>
  <c r="I29" i="2"/>
  <c r="I30" i="2"/>
  <c r="I31" i="2"/>
  <c r="I32" i="2"/>
  <c r="I33" i="2"/>
  <c r="I35" i="2"/>
  <c r="I36" i="2"/>
  <c r="I37" i="2"/>
  <c r="I3" i="2"/>
  <c r="F7" i="2"/>
  <c r="F8" i="2"/>
  <c r="F9" i="2"/>
  <c r="F10" i="2"/>
  <c r="F12" i="2"/>
  <c r="F13" i="2"/>
  <c r="F14" i="2"/>
  <c r="F16" i="2"/>
  <c r="F17" i="2"/>
  <c r="F19" i="2"/>
  <c r="F20" i="2"/>
  <c r="F21" i="2"/>
  <c r="F22" i="2"/>
  <c r="F23" i="2"/>
  <c r="F25" i="2"/>
  <c r="F26" i="2"/>
  <c r="F27" i="2"/>
  <c r="F28" i="2"/>
  <c r="F29" i="2"/>
  <c r="F30" i="2"/>
  <c r="F36" i="2"/>
  <c r="F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tc={7EC01B38-FD71-46A9-8A26-39E7FB7611EE}</author>
    <author>tc={1F33DE68-A700-4851-8900-54C8D4D4EC46}</author>
  </authors>
  <commentList>
    <comment ref="C12" authorId="0" shapeId="0" xr:uid="{7EC01B38-FD71-46A9-8A26-39E7FB7611EE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4" authorId="1" shapeId="0" xr:uid="{1F33DE68-A700-4851-8900-54C8D4D4EC46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tc={2D5C9912-3D08-45BA-9846-45834AA7B860}</author>
    <author>tc={2341B4CB-0875-4CBF-A091-B20CB9DFC185}</author>
    <author>tc={A3C940BB-EC3D-4B2F-84D7-B53AAF3668D7}</author>
    <author>tc={F6E31DFB-2AE4-4BCA-8219-4CDCBE0B0FEC}</author>
  </authors>
  <commentList>
    <comment ref="C8" authorId="0" shapeId="0" xr:uid="{2D5C9912-3D08-45BA-9846-45834AA7B86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results
</t>
      </text>
    </comment>
    <comment ref="C23" authorId="1" shapeId="0" xr:uid="{2341B4CB-0875-4CBF-A091-B20CB9DFC185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9" authorId="2" shapeId="0" xr:uid="{A3C940BB-EC3D-4B2F-84D7-B53AAF3668D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0" authorId="3" shapeId="0" xr:uid="{F6E31DFB-2AE4-4BCA-8219-4CDCBE0B0FEC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results
</t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tc={50136F9B-7BBD-424E-A448-46CDD1204AB4}</author>
    <author>tc={03C11742-79DC-4960-A0BC-F4380AC98957}</author>
    <author>tc={48D163DD-D170-4056-8461-55988E6F9531}</author>
    <author>tc={9A5E1098-57C4-45CE-B9A1-8FDD335FFF03}</author>
  </authors>
  <commentList>
    <comment ref="C22" authorId="0" shapeId="0" xr:uid="{50136F9B-7BBD-424E-A448-46CDD1204AB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8" authorId="1" shapeId="0" xr:uid="{03C11742-79DC-4960-A0BC-F4380AC9895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3" authorId="2" shapeId="0" xr:uid="{48D163DD-D170-4056-8461-55988E6F9531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8" authorId="3" shapeId="0" xr:uid="{9A5E1098-57C4-45CE-B9A1-8FDD335FFF03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tc={FAD1DF60-A25F-41E9-ACDA-B481A3493AAD}</author>
    <author>tc={B5B339B3-7F95-414B-B07C-20D9CEE35AFC}</author>
    <author>tc={8A2C904E-423A-4F9D-A72E-578D4C41EEC7}</author>
    <author>tc={363373E1-095A-49B0-A5F5-FB6FED9A70B7}</author>
    <author>tc={01740C45-9E91-4652-BA00-358948752846}</author>
  </authors>
  <commentList>
    <comment ref="C21" authorId="0" shapeId="0" xr:uid="{FAD1DF60-A25F-41E9-ACDA-B481A3493AAD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4" authorId="1" shapeId="0" xr:uid="{B5B339B3-7F95-414B-B07C-20D9CEE35AFC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5" authorId="2" shapeId="0" xr:uid="{8A2C904E-423A-4F9D-A72E-578D4C41EEC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6" authorId="3" shapeId="0" xr:uid="{363373E1-095A-49B0-A5F5-FB6FED9A70B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0" authorId="4" shapeId="0" xr:uid="{01740C45-9E91-4652-BA00-358948752846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tc={A91DF280-4EA7-46B4-AB3F-0B6CE8587054}</author>
    <author>tc={F1B81F3E-426D-48DD-9BAC-E797D463DBC8}</author>
    <author>tc={E26F1309-EC62-41FB-8F7A-CF62A24EE5FC}</author>
    <author>tc={80B916DB-A986-48B1-9BFA-4BBED3CAB430}</author>
    <author>tc={BCF0D8EC-AF10-4AC2-B855-D99D02306609}</author>
    <author>tc={73E5FE32-4FC0-4E5E-944D-DB55A8F39B7F}</author>
    <author>tc={0BEEC6D6-0A97-48EE-BB6E-D63AB1A2980F}</author>
    <author>tc={79294730-DA6A-4332-9C89-9F72E7111805}</author>
    <author>tc={CD557FF3-1521-461D-85BA-E93E8D1DF570}</author>
  </authors>
  <commentList>
    <comment ref="C17" authorId="0" shapeId="0" xr:uid="{A91DF280-4EA7-46B4-AB3F-0B6CE858705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4" authorId="1" shapeId="0" xr:uid="{F1B81F3E-426D-48DD-9BAC-E797D463DBC8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7" authorId="2" shapeId="0" xr:uid="{E26F1309-EC62-41FB-8F7A-CF62A24EE5FC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7" authorId="3" shapeId="0" xr:uid="{80B916DB-A986-48B1-9BFA-4BBED3CAB430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0" authorId="4" shapeId="0" xr:uid="{BCF0D8EC-AF10-4AC2-B855-D99D0230660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1" authorId="5" shapeId="0" xr:uid="{73E5FE32-4FC0-4E5E-944D-DB55A8F39B7F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2" authorId="6" shapeId="0" xr:uid="{0BEEC6D6-0A97-48EE-BB6E-D63AB1A2980F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5" authorId="7" shapeId="0" xr:uid="{79294730-DA6A-4332-9C89-9F72E7111805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8" authorId="8" shapeId="0" xr:uid="{CD557FF3-1521-461D-85BA-E93E8D1DF570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tc={35B6F91B-1C8B-45C3-B406-12FA76F9C6BE}</author>
    <author>tc={F020B9FB-FBD9-437E-8975-92D21BB5AD09}</author>
    <author>tc={5FD9D5C2-B760-40B8-B4D0-BFF94510B54E}</author>
    <author>tc={03C8B453-1187-478C-B1AC-BC1D3122F74B}</author>
  </authors>
  <commentList>
    <comment ref="C19" authorId="0" shapeId="0" xr:uid="{35B6F91B-1C8B-45C3-B406-12FA76F9C6BE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5" authorId="1" shapeId="0" xr:uid="{F020B9FB-FBD9-437E-8975-92D21BB5AD0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9" authorId="2" shapeId="0" xr:uid="{5FD9D5C2-B760-40B8-B4D0-BFF94510B54E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5" authorId="3" shapeId="0" xr:uid="{03C8B453-1187-478C-B1AC-BC1D3122F74B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tc={574B24CC-62F7-498E-A3E2-EE57EEBF2534}</author>
  </authors>
  <commentList>
    <comment ref="D32" authorId="0" shapeId="0" xr:uid="{574B24CC-62F7-498E-A3E2-EE57EEBF253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tc={9798A831-E0B5-4533-80B1-F99D972D7916}</author>
    <author>tc={5E70F7F1-1767-4B6A-AFCA-AAC5B55D9AE9}</author>
  </authors>
  <commentList>
    <comment ref="C29" authorId="0" shapeId="0" xr:uid="{9798A831-E0B5-4533-80B1-F99D972D7916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2" authorId="1" shapeId="0" xr:uid="{5E70F7F1-1767-4B6A-AFCA-AAC5B55D9AE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tc={542F5D7F-8BB2-4009-B7C2-52E7200B5489}</author>
    <author>tc={1CADBC06-2912-4D64-A315-431576F17010}</author>
    <author>tc={ADA42EF9-568D-46AF-9547-CAF847E6A977}</author>
  </authors>
  <commentList>
    <comment ref="C31" authorId="0" shapeId="0" xr:uid="{542F5D7F-8BB2-4009-B7C2-52E7200B548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4" authorId="1" shapeId="0" xr:uid="{1CADBC06-2912-4D64-A315-431576F17010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5" authorId="2" shapeId="0" xr:uid="{ADA42EF9-568D-46AF-9547-CAF847E6A97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tc={C1DE94BD-B9A6-443B-AFF6-BF3679732EF4}</author>
    <author>tc={E941CA3A-EA7D-4169-9821-56302DB5D76F}</author>
    <author>tc={C4636427-461B-4F3E-A97D-F6023196F619}</author>
  </authors>
  <commentList>
    <comment ref="C29" authorId="0" shapeId="0" xr:uid="{C1DE94BD-B9A6-443B-AFF6-BF3679732EF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1" authorId="1" shapeId="0" xr:uid="{E941CA3A-EA7D-4169-9821-56302DB5D76F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6" authorId="2" shapeId="0" xr:uid="{C4636427-461B-4F3E-A97D-F6023196F61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tc={682F5EA6-3D97-43B6-950C-55182A792233}</author>
    <author>tc={9A587AAA-5D56-4414-A004-820B37A89CDE}</author>
  </authors>
  <commentList>
    <comment ref="C29" authorId="0" shapeId="0" xr:uid="{682F5EA6-3D97-43B6-950C-55182A792233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0" authorId="1" shapeId="0" xr:uid="{9A587AAA-5D56-4414-A004-820B37A89CDE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tc={8A10CF85-5920-4B57-B0C6-1FDCB5C28B33}</author>
    <author>tc={C8A2A591-667B-43F0-91C8-77F0B590560F}</author>
    <author>tc={DF1F831A-0978-4660-A764-8215E1175554}</author>
  </authors>
  <commentList>
    <comment ref="C34" authorId="0" shapeId="0" xr:uid="{8A10CF85-5920-4B57-B0C6-1FDCB5C28B33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6" authorId="1" shapeId="0" xr:uid="{C8A2A591-667B-43F0-91C8-77F0B590560F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9" authorId="2" shapeId="0" xr:uid="{DF1F831A-0978-4660-A764-8215E117555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tc={2320E0F0-BB03-4E0C-A822-FC36345CC17B}</author>
    <author>tc={2E14C2C3-6EE3-4BAC-8DE9-32BCCBB89287}</author>
    <author>tc={B00CED23-333A-4893-AB8E-3F765944E2AA}</author>
  </authors>
  <commentList>
    <comment ref="C26" authorId="0" shapeId="0" xr:uid="{2320E0F0-BB03-4E0C-A822-FC36345CC17B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1" authorId="1" shapeId="0" xr:uid="{2E14C2C3-6EE3-4BAC-8DE9-32BCCBB8928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4" authorId="2" shapeId="0" xr:uid="{B00CED23-333A-4893-AB8E-3F765944E2AA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tc={C9B21857-97ED-4D48-A748-380BBC6C3AE4}</author>
    <author>tc={2B37BC00-389A-4B3F-A61A-48B07BD8AEE4}</author>
    <author>tc={26C8960B-F834-4A39-9449-C57D6A82C1FD}</author>
    <author>tc={0EE5858B-D9A4-44B4-951B-BD49A8312D6F}</author>
    <author>tc={A6EA8AD3-94F4-4334-AE55-DC9FD0D37E6B}</author>
  </authors>
  <commentList>
    <comment ref="C23" authorId="0" shapeId="0" xr:uid="{C9B21857-97ED-4D48-A748-380BBC6C3AE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results
</t>
      </text>
    </comment>
    <comment ref="C25" authorId="1" shapeId="0" xr:uid="{2B37BC00-389A-4B3F-A61A-48B07BD8AEE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6" authorId="2" shapeId="0" xr:uid="{26C8960B-F834-4A39-9449-C57D6A82C1F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
</t>
      </text>
    </comment>
    <comment ref="C27" authorId="3" shapeId="0" xr:uid="{0EE5858B-D9A4-44B4-951B-BD49A8312D6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
</t>
      </text>
    </comment>
    <comment ref="C28" authorId="4" shapeId="0" xr:uid="{A6EA8AD3-94F4-4334-AE55-DC9FD0D37E6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
</t>
      </text>
    </comment>
  </commentList>
</comments>
</file>

<file path=xl/sharedStrings.xml><?xml version="1.0" encoding="utf-8"?>
<sst xmlns="http://schemas.openxmlformats.org/spreadsheetml/2006/main" count="4108" uniqueCount="369">
  <si>
    <t>Filmas 
(Movie)</t>
  </si>
  <si>
    <t>Pajamos 
(GBO)</t>
  </si>
  <si>
    <t>Pakitimas
(Change)</t>
  </si>
  <si>
    <t>Žiūrovų sk. 
(ADM)</t>
  </si>
  <si>
    <t>Seansų sk. 
(Show count)</t>
  </si>
  <si>
    <t>Rodymo savaitė
(Week on screen)</t>
  </si>
  <si>
    <t>Bendros pajamos 
(Total GBO)</t>
  </si>
  <si>
    <t>Platintojas 
(Distributor)</t>
  </si>
  <si>
    <t>Premjeros data 
(Release date)</t>
  </si>
  <si>
    <t>Bendras žiūrovų sk.
(Total ADM)</t>
  </si>
  <si>
    <t>Kopijų sk. 
(DCO count)</t>
  </si>
  <si>
    <t>ACME Film</t>
  </si>
  <si>
    <t>ACME Film / WB</t>
  </si>
  <si>
    <t>Garsų pasaulio įrašai</t>
  </si>
  <si>
    <t>Adastra Cinema</t>
  </si>
  <si>
    <t>-</t>
  </si>
  <si>
    <t>Lankomumo vid.
(Average ADM)</t>
  </si>
  <si>
    <t>N</t>
  </si>
  <si>
    <t>Theatrical Film Distribution / WDSMPI</t>
  </si>
  <si>
    <t>Travolta</t>
  </si>
  <si>
    <t>Pajamos 
praeita sav.
(GBO LW)</t>
  </si>
  <si>
    <t>#</t>
  </si>
  <si>
    <t>#
LW</t>
  </si>
  <si>
    <t>P</t>
  </si>
  <si>
    <t>Preview</t>
  </si>
  <si>
    <t>Europos kinas</t>
  </si>
  <si>
    <t xml:space="preserve"> </t>
  </si>
  <si>
    <t>Garfildas (Garfield)</t>
  </si>
  <si>
    <t>Furioza: Pašėlusio Makso saga (Furiosa: A Mad Max Saga)</t>
  </si>
  <si>
    <t>Nepažįstamieji: Pirma dalis (The Strangers: Chapter 1)</t>
  </si>
  <si>
    <t xml:space="preserve">Beždžionių planetos karalystė (Kingdom of the Planet of the Apes) </t>
  </si>
  <si>
    <t>Mirties korta (Tarot)</t>
  </si>
  <si>
    <t>Kaskadininkas (The Fall Guy)</t>
  </si>
  <si>
    <t>Varžovai (Challengers)</t>
  </si>
  <si>
    <t>Kauliuko metimas (Breaking point)</t>
  </si>
  <si>
    <t>Kung Fu Panda 4</t>
  </si>
  <si>
    <t>Kažkas ten yra (Something in the Water)</t>
  </si>
  <si>
    <t>Drakonų sergėtoja (Dragonkeeper)</t>
  </si>
  <si>
    <t>Rašytojas (The Writer)</t>
  </si>
  <si>
    <t>Mažylis Nikolia pasakoja apie laimę (Le Petit Nicolas: Qu'est-Ce Qu'on Attend Pour Être Heureux? )</t>
  </si>
  <si>
    <t>Mėnesinės (Periodical)</t>
  </si>
  <si>
    <t xml:space="preserve">Hit Man </t>
  </si>
  <si>
    <t>Prezidentas</t>
  </si>
  <si>
    <t>Nedžentelmeniško karo ministerija (The Ministry of Ungentlemanly Warfare)</t>
  </si>
  <si>
    <t>Kaimiečiai (Chlopi)</t>
  </si>
  <si>
    <t>Raganosis Rino (Thabo and the Rhino Case)</t>
  </si>
  <si>
    <t>Interesų zona (The Zone of Interest)</t>
  </si>
  <si>
    <t>Baltoji paukštė (White Bird a Wonder Story)</t>
  </si>
  <si>
    <t>Drugelio Širdis</t>
  </si>
  <si>
    <t>Kryčio anatomija (Anatomy of a Fall)</t>
  </si>
  <si>
    <t>Keistuolė Betė (My Freaky Family)</t>
  </si>
  <si>
    <t>Back To Black</t>
  </si>
  <si>
    <t>Visi mes svetimi (All of Us Strangers)</t>
  </si>
  <si>
    <t>Svajonių atostogos (The Holdovers)</t>
  </si>
  <si>
    <t>Monstras (Monster)</t>
  </si>
  <si>
    <t>Openheimeris (Oppenheimer)</t>
  </si>
  <si>
    <t>Įpėdinis (The Successor)</t>
  </si>
  <si>
    <t xml:space="preserve">Femme </t>
  </si>
  <si>
    <t>Mano laisvė (Mana Brīvība)</t>
  </si>
  <si>
    <t>Žalia siena (Zielona granica)</t>
  </si>
  <si>
    <t>Nežinomais takais (Sur les chemins noirs)</t>
  </si>
  <si>
    <t xml:space="preserve">ACME Film / SONY </t>
  </si>
  <si>
    <t>Dukine Film Distribution / Paramount Pictures</t>
  </si>
  <si>
    <t>Dukine Film Distribution / Universal Pictures</t>
  </si>
  <si>
    <t>Naratyvas</t>
  </si>
  <si>
    <t>Cinema Ads</t>
  </si>
  <si>
    <t xml:space="preserve">ACME Film </t>
  </si>
  <si>
    <t>M-films</t>
  </si>
  <si>
    <t>Greta Garbo Films</t>
  </si>
  <si>
    <t>Total (35)</t>
  </si>
  <si>
    <t>167 051 €</t>
  </si>
  <si>
    <t>Gegužės 31– birželio 6 d. Lietuvos kino teatruose rodytų filmų topas
May 31–June 6 Lithuanian top</t>
  </si>
  <si>
    <t>Gegužės 24–30 d. Lietuvos kino teatruose rodytų filmų topas
May 24–30 Lithuanian top</t>
  </si>
  <si>
    <t>Žiogas ir Antuanetė (Cricket &amp; Antoinette)</t>
  </si>
  <si>
    <t>Karta.EU</t>
  </si>
  <si>
    <t>Studio Nominum</t>
  </si>
  <si>
    <t>Miauricijus Puikusis (Amazing Maurice)</t>
  </si>
  <si>
    <t>Detektyvas Sanis (Inspector Sun and the curse of the black widow)</t>
  </si>
  <si>
    <t>Pašėlę vyrukai: viskas arba nieko (Bad Boys: Ride Or Die)</t>
  </si>
  <si>
    <t>Stebėtojai (The Watchers)</t>
  </si>
  <si>
    <t>Tigro kelionė Himalajuose (Tigers Nest)</t>
  </si>
  <si>
    <t>Apsinuoginusi mūza (Bonnard: Pierre &amp; Marthe)</t>
  </si>
  <si>
    <t>Best Film</t>
  </si>
  <si>
    <t>Daaaaaali!</t>
  </si>
  <si>
    <t>Marija Montesori (La nouvelle femme)</t>
  </si>
  <si>
    <t>Nakties skerdikas (Wake Up)</t>
  </si>
  <si>
    <t>Prasti reikalai (Poor Things)</t>
  </si>
  <si>
    <t>Lukas (Luca)</t>
  </si>
  <si>
    <t>Ernestas ir Selestina: Kelionė į Šaradiją (Ernest et Célestine: Le voyage en Charabie)</t>
  </si>
  <si>
    <t>Broom Films</t>
  </si>
  <si>
    <t>Total (36)</t>
  </si>
  <si>
    <t>228 478 €</t>
  </si>
  <si>
    <t>Birželio 7–13 d. Lietuvos kino teatruose rodytų filmų topas
June 7–13 Lithuanian top</t>
  </si>
  <si>
    <t>Stebuklų knyga (La chambre des merveilles)</t>
  </si>
  <si>
    <t>What the Finn – Summer of Surprises (Kannawoniwasein!)</t>
  </si>
  <si>
    <t>Unlimited Media OÜ</t>
  </si>
  <si>
    <t>Petsi Iš Argo (Argonuts)</t>
  </si>
  <si>
    <t>Greiti ir pūkuoti (Rally Road Racers)</t>
  </si>
  <si>
    <t>Godzila ir Kongas. Nauja imperija (Godzilla x Kong: The New Empire)</t>
  </si>
  <si>
    <t xml:space="preserve">Sūnus (Son) </t>
  </si>
  <si>
    <t>ACME Film / SONY</t>
  </si>
  <si>
    <t>Poetas</t>
  </si>
  <si>
    <t>Nematomas draugas (Imaginary)</t>
  </si>
  <si>
    <t xml:space="preserve">ACME Film  </t>
  </si>
  <si>
    <t>Ema ir juodasis jaguaras (Le Dernier Jaguar)</t>
  </si>
  <si>
    <t>Gurmaniška aistra (Pot au Feu de Dodin Bouffant)</t>
  </si>
  <si>
    <t>Išvirkščias pasaulis 2 (Inside Out 2)</t>
  </si>
  <si>
    <t>Irklais per Atlantą</t>
  </si>
  <si>
    <t>Valujavičiaus kelionės</t>
  </si>
  <si>
    <t>Viskas bus kitaip (Everything Will Change)</t>
  </si>
  <si>
    <t>Toro (Mandibules)</t>
  </si>
  <si>
    <t>–</t>
  </si>
  <si>
    <t>Total (47)</t>
  </si>
  <si>
    <t>Nematomi draugai (IF: Imaginary Friends)</t>
  </si>
  <si>
    <t>Birželio 14–20 d. Lietuvos kino teatruose rodytų filmų topas
June 14–20 Lithuanian top</t>
  </si>
  <si>
    <t>Praeitą vasarą (L’Ete Dernier)</t>
  </si>
  <si>
    <t>Estinfilm</t>
  </si>
  <si>
    <t>Parko stebuklai (The Inseparables)</t>
  </si>
  <si>
    <t>Sparnuoti herojai (Super Wings the Movie: Maximum Speed)</t>
  </si>
  <si>
    <t>Motinos instinktas (Mothers‘ instinct)</t>
  </si>
  <si>
    <t>Karalienės žaidimas (Firebrand)</t>
  </si>
  <si>
    <t>Nutrūktgalviai. Don Kichoto pėdsakais (Giants of La Mancha)</t>
  </si>
  <si>
    <t>Laisvės garsas (Sound of Freedom)</t>
  </si>
  <si>
    <t>Theatrical Film Distribution</t>
  </si>
  <si>
    <t>Sapnų scenarijus (Dream Scenario)</t>
  </si>
  <si>
    <t>Tu man nieko neprimeni</t>
  </si>
  <si>
    <t>353 051 €</t>
  </si>
  <si>
    <t>Total (42)</t>
  </si>
  <si>
    <t>559 682 €</t>
  </si>
  <si>
    <t>Mažojo Nikolia lobis (Le Trésor du Petit Nicolas)</t>
  </si>
  <si>
    <t>Kino pasaka</t>
  </si>
  <si>
    <t>Milli Vanilli (Girl You Know It's True)</t>
  </si>
  <si>
    <t>Mano mažasis karalius (King)</t>
  </si>
  <si>
    <t>Stebuklingoji boružėlė ir juodasis katinas (Ladybug &amp; Cat Noir: The Awakening)</t>
  </si>
  <si>
    <t>Mavka: miško siela (Mavka Forest Song)</t>
  </si>
  <si>
    <t>Viena gyvybė (One Life)</t>
  </si>
  <si>
    <t>Tylos zona. Pirmoji diena (A Quiet Place: Day One)</t>
  </si>
  <si>
    <t>Katytė ir aš (Cat's Life)</t>
  </si>
  <si>
    <t>Horizontas 1 dalis (Horizon an American Saga 1)</t>
  </si>
  <si>
    <t>Total (38)</t>
  </si>
  <si>
    <t>Birželio 21–27 d. Lietuvos kino teatruose rodytų filmų topas
June 21–27 Lithuanian top</t>
  </si>
  <si>
    <t>Mažylis Nikolia pasakoja apie laimę (Le petit Nicolas: Qu'est-ce qu'on attend pour être heureux?)</t>
  </si>
  <si>
    <t>Ramenai (Ramen Teh)</t>
  </si>
  <si>
    <t>Kitąmet tuo pačiu laiku (This Time Next Year)</t>
  </si>
  <si>
    <t>Džiunglių būrys 2 (Jungle Bunch 2 )</t>
  </si>
  <si>
    <t>Back to Black</t>
  </si>
  <si>
    <t>Bjaurusis aš 4 (Despicable Me 4)</t>
  </si>
  <si>
    <t>Malonės rūšys (Kinds of Kindness)</t>
  </si>
  <si>
    <t>Vizijos (Visions)</t>
  </si>
  <si>
    <t>Tu man nieko neprimeni (Slow)</t>
  </si>
  <si>
    <t>Total (29)</t>
  </si>
  <si>
    <t>450 444 €</t>
  </si>
  <si>
    <t>Nuskraidink mane į mėnulį (Fy Me to the Moon)</t>
  </si>
  <si>
    <t>Egzorcizmas (The Exorcism)</t>
  </si>
  <si>
    <t>Baikeriai (Bikeriders)</t>
  </si>
  <si>
    <t>Blogiukai (Bad Guys)</t>
  </si>
  <si>
    <t>Troliai 3 (Trolls Band Together)</t>
  </si>
  <si>
    <t>Horizontas 1 dalis (Horizont an American Saga part 1)</t>
  </si>
  <si>
    <t>Total (27)</t>
  </si>
  <si>
    <t>361 495 €</t>
  </si>
  <si>
    <t>Birželio 28–liepos 4 d. Lietuvos kino teatruose rodytų filmų topas
June 28–July 4 Lithuanian top</t>
  </si>
  <si>
    <t>Liepos 5–11 d. Lietuvos kino teatruose rodytų filmų topas
July 5–11 Lithuanian top</t>
  </si>
  <si>
    <t>Liepos 12–18 d. Lietuvos kino teatruose rodytų filmų topas
July 12–18 Lithuanian top</t>
  </si>
  <si>
    <t>Palikimas (Treasure)</t>
  </si>
  <si>
    <t>Nuskraidink mane į mėnulį (Fly Me To The Moon)</t>
  </si>
  <si>
    <t>Sielų kolekcionierius (Longlegs)</t>
  </si>
  <si>
    <t>Tornadų medžiotojai (Twisters)</t>
  </si>
  <si>
    <t>Žvėriška prigimtis (In A Violent Nature)</t>
  </si>
  <si>
    <t xml:space="preserve">Theatrical Film Distribution </t>
  </si>
  <si>
    <t>Pakalikai 2 (Minions: The Rise of Gru)</t>
  </si>
  <si>
    <t>Batuotas katinas Pūkis: paskutinis noras (Puss in Boots: The Last Wish)</t>
  </si>
  <si>
    <t>Praėję gyvenimai (Past lives)</t>
  </si>
  <si>
    <t>498 567 €</t>
  </si>
  <si>
    <t>Total (28)</t>
  </si>
  <si>
    <t>Viena vasara (Le temps d'un été)</t>
  </si>
  <si>
    <t>Liepos 19–25 d. Lietuvos kino teatruose rodytų filmų topas
July 19–25 Lithuanian top</t>
  </si>
  <si>
    <t>Paslapčių traukinys (A Mystery on the Cattle Hill Express)</t>
  </si>
  <si>
    <t xml:space="preserve"> 2024-07-19</t>
  </si>
  <si>
    <t>Deadpool ir Ernis (Deadpool &amp; Wolverine)</t>
  </si>
  <si>
    <t>Šunyčiai patruliai 2. Galingas filmas (PAW Patrol: The Mighty Movie)</t>
  </si>
  <si>
    <t xml:space="preserve"> 2023-10-27</t>
  </si>
  <si>
    <t>Begalybė (L’immensita)</t>
  </si>
  <si>
    <t>423 300 €</t>
  </si>
  <si>
    <t>Liepos 26–rugpjūčio 1 d. Lietuvos kino teatruose rodytų filmų topas
July 26–August 1 Lithuanian top</t>
  </si>
  <si>
    <t>10 pasimatymų</t>
  </si>
  <si>
    <t>Afrika Pandastika (Panda Bear in Africa)</t>
  </si>
  <si>
    <t>Haroldas ir magiškoji kreidelė (Harold &amp; The Purple Crayon)</t>
  </si>
  <si>
    <t>Ežiukas Sonic 2 (Sonic the Hedgehog 2)</t>
  </si>
  <si>
    <t>O, Paryžiau! (Paris Paradis)</t>
  </si>
  <si>
    <t>436 983 €</t>
  </si>
  <si>
    <t>Rugpjūčio 2–8 d. Lietuvos kino teatruose rodytų filmų topas
August 2–8 Lithuanian top</t>
  </si>
  <si>
    <t>Mes dedame tašką (It Ends With Us)</t>
  </si>
  <si>
    <t>Borderlands: paslaptinga relikvija (Borderlands)</t>
  </si>
  <si>
    <t>200% Vilkas (200% Wolf)</t>
  </si>
  <si>
    <t>Oho! (Wahou!)</t>
  </si>
  <si>
    <t>MaXXXine</t>
  </si>
  <si>
    <t>Total (37)</t>
  </si>
  <si>
    <t>Rugpjūčio 9–15 d. Lietuvos kino teatruose rodytų filmų topas
August 9–15 Lithuanian top</t>
  </si>
  <si>
    <t>438 830 €</t>
  </si>
  <si>
    <t>Džiunglių būrys 2 (Jungle Bunch 2)</t>
  </si>
  <si>
    <t>Geriausi mūsų metai (Gli anni più belli)</t>
  </si>
  <si>
    <t>10572</t>
  </si>
  <si>
    <t>9439</t>
  </si>
  <si>
    <t>Svetimas: Romulas (Alien: Romulus)</t>
  </si>
  <si>
    <t>Total (30)</t>
  </si>
  <si>
    <t>Rugpjūčio 16–22 d. Lietuvos kino teatruose rodytų filmų topas
August 16–22 Lithuanian top</t>
  </si>
  <si>
    <t>Duok ženklą (Blink Twice)</t>
  </si>
  <si>
    <t>Varnas (The Crow)</t>
  </si>
  <si>
    <t>Mano draugas pingvinas (My Penguin friend)</t>
  </si>
  <si>
    <t>Baltic Content Media</t>
  </si>
  <si>
    <t xml:space="preserve">Back To Black </t>
  </si>
  <si>
    <t>Bučiuoju, Juozas</t>
  </si>
  <si>
    <t>Geležiniai gniaužtai (The Iron Claw)</t>
  </si>
  <si>
    <t>4211</t>
  </si>
  <si>
    <t>10591</t>
  </si>
  <si>
    <t>Bernadeta (Bernadette)</t>
  </si>
  <si>
    <t>Tegul prasideda šokiai (Empieza el baile)</t>
  </si>
  <si>
    <t>Estinfillm</t>
  </si>
  <si>
    <t>Pažadėtoji žemė (Bastarden)</t>
  </si>
  <si>
    <t>647 727 €</t>
  </si>
  <si>
    <t>Rugpjūčio 23–29 d. Lietuvos kino teatruose rodytų filmų topas
August 23–29 Lithuanian top</t>
  </si>
  <si>
    <t>Fantastinių gyvūnų legenda (Lendarys)</t>
  </si>
  <si>
    <t>Naktis su žudiku (Strange Darling)</t>
  </si>
  <si>
    <t>Narsieji gelbėtojai (Combat Wombat: Back 2 Back)</t>
  </si>
  <si>
    <t>Paklusnumo žaidimai (Subservience)</t>
  </si>
  <si>
    <t>69 išpažintis</t>
  </si>
  <si>
    <t>TBA</t>
  </si>
  <si>
    <t>Mental machinery</t>
  </si>
  <si>
    <t>429 936 €</t>
  </si>
  <si>
    <t>Total (34)</t>
  </si>
  <si>
    <t>Total (41)</t>
  </si>
  <si>
    <t>Rugpjūčio 30–rugsėjo 5 d. Lietuvos kino teatruose rodytų filmų topas
August 30–September 5 Lithuanian top</t>
  </si>
  <si>
    <t>Reiganas (Reagan)</t>
  </si>
  <si>
    <t>Tiesiog sėkmė (Coup de chance)</t>
  </si>
  <si>
    <t>Beetlejuice Beetlejuice</t>
  </si>
  <si>
    <t>Kalifornijos svajos (La La Land)</t>
  </si>
  <si>
    <t>Ryuichi Sakamoto | Opusas (Ryuichi Sakamoto | Opus)</t>
  </si>
  <si>
    <t>Sonne und Beton (Sun and Concrete)</t>
  </si>
  <si>
    <t>Rugsėjo 6–12 d. Lietuvos kino teatruose rodytų filmų topas
September 6–12 Lithuanian top</t>
  </si>
  <si>
    <t>Ozi. Miško balsas (Ozi: Voice Of The Forest)</t>
  </si>
  <si>
    <t>Madam Clicquot (Widow Clicquot)</t>
  </si>
  <si>
    <t>33453</t>
  </si>
  <si>
    <t>Duobėje</t>
  </si>
  <si>
    <t>Maobori company</t>
  </si>
  <si>
    <t>Blur: To The End</t>
  </si>
  <si>
    <t xml:space="preserve">Theatrical Film Distribution  / WDSMPI  </t>
  </si>
  <si>
    <t>Nekalbėk apie blogį (Speak No Evil)</t>
  </si>
  <si>
    <t>215 943 €</t>
  </si>
  <si>
    <t>Pragaro vaikis: sukčius (Hellboy: The Crooked man)</t>
  </si>
  <si>
    <t>Hana monstrų pasaulyje (Hanna And The Monsters)</t>
  </si>
  <si>
    <t>Bolero</t>
  </si>
  <si>
    <t xml:space="preserve">Theatrical Film Distribution   </t>
  </si>
  <si>
    <t>Rugsėjo 13–19 d. Lietuvos kino teatruose rodytų filmų topas
September 13–19 Lithuanian top</t>
  </si>
  <si>
    <t>Niekada nepaleisk (Never Let Go)</t>
  </si>
  <si>
    <t>Kopa: antra dalis (Dune: Part II)</t>
  </si>
  <si>
    <t>Meilė, melas, kraujas (Love Lies Bleeding)</t>
  </si>
  <si>
    <t>317</t>
  </si>
  <si>
    <t>Piligrimai</t>
  </si>
  <si>
    <t>Transformeriai. Pradžia (Transformers One)</t>
  </si>
  <si>
    <t xml:space="preserve">Dukine Film Distribution / Paramount </t>
  </si>
  <si>
    <t>Rugsėjo 20–26 d. Lietuvos kino teatruose rodytų filmų topas
September 20–26 Lithuanian top</t>
  </si>
  <si>
    <t>10 katino gyvenimų (10 Lives)</t>
  </si>
  <si>
    <t>Sesės</t>
  </si>
  <si>
    <t>Po mokyklos</t>
  </si>
  <si>
    <t>Gobšuoliai (Greedy People)</t>
  </si>
  <si>
    <t xml:space="preserve">Travolta </t>
  </si>
  <si>
    <t>1034</t>
  </si>
  <si>
    <t>Rugsėjo 27–spalio 3 d. Lietuvos kino teatruose rodytų filmų topas
September 27–October 3 Lithuanian top</t>
  </si>
  <si>
    <t>Substancija (The Substance)</t>
  </si>
  <si>
    <t>Savaitgalis Taipėjuje (Weekend in Taipei)</t>
  </si>
  <si>
    <t>Misija Titanas (Slingshot)</t>
  </si>
  <si>
    <t>Džokeris: Folie A Deux (Joker: Folie a Deux)</t>
  </si>
  <si>
    <t>Šuo kuris keliavo traukiniu (Lampo The Travelling Dog)</t>
  </si>
  <si>
    <t>296 701 €</t>
  </si>
  <si>
    <t>1405</t>
  </si>
  <si>
    <t>Banginis (The Whale)</t>
  </si>
  <si>
    <t>Šokių karalienė (Dancing Queen)</t>
  </si>
  <si>
    <t>Total (32)</t>
  </si>
  <si>
    <t>Spalio 4–10 d. Lietuvos kino teatruose rodytų filmų topas
October 4–10 Lithuanian top</t>
  </si>
  <si>
    <t>388 320 €</t>
  </si>
  <si>
    <t>Broliai lokiai: laiko kilpa (Boonie Bears: Time Twist</t>
  </si>
  <si>
    <t>Unlimited Media</t>
  </si>
  <si>
    <t>Išdykusios letenos. Dingę augintiniai (Grace And Pedro: Pets To The Rescue)</t>
  </si>
  <si>
    <t>Oho! Žinutė iš kosmoso (Wow! Message from Space)</t>
  </si>
  <si>
    <t>1455</t>
  </si>
  <si>
    <t>365 333 €</t>
  </si>
  <si>
    <t>Spalio 11–17 d. Lietuvos kino teatruose rodytų filmų topas
October 11–17 Lithuanian top</t>
  </si>
  <si>
    <t>Psichopato bučinys (Woman Of The Hour)</t>
  </si>
  <si>
    <t>Jaunasis vadas Vinetu (Der junge Häuptling Winnetou)</t>
  </si>
  <si>
    <t>Baimė (Afraid)</t>
  </si>
  <si>
    <t>Mūza</t>
  </si>
  <si>
    <t>Juodoji kanarėlė (Canary Black)</t>
  </si>
  <si>
    <t>Šypsena 2 (Smile 2)</t>
  </si>
  <si>
    <t>Tylos valanda (The Silent Hour)</t>
  </si>
  <si>
    <t>Tikri farai</t>
  </si>
  <si>
    <t>All screens</t>
  </si>
  <si>
    <t>Mano Marčelas (Marcello Mio)</t>
  </si>
  <si>
    <t>Best film</t>
  </si>
  <si>
    <t>Spalio 18–24 d. Lietuvos kino teatruose rodytų filmų topas
October 18–24 Lithuanian top</t>
  </si>
  <si>
    <t>271 775 €</t>
  </si>
  <si>
    <t>Grafas Montekristas (The Count of Monte-Cristo)</t>
  </si>
  <si>
    <t>Megalopolis</t>
  </si>
  <si>
    <t>After. Fanams (Beyond After)</t>
  </si>
  <si>
    <t>Kalėjimo prižiūrėtoja (Vogter)</t>
  </si>
  <si>
    <t>Mokinys (Apprentice)</t>
  </si>
  <si>
    <t>Venomas 3 (Venom: The Last Dance)</t>
  </si>
  <si>
    <t>9835</t>
  </si>
  <si>
    <t>225</t>
  </si>
  <si>
    <t>Vesper</t>
  </si>
  <si>
    <t>Laikas gyventi (We Live in Time)</t>
  </si>
  <si>
    <t>Laukinukė Roz (Wild Robot)</t>
  </si>
  <si>
    <t>Spalio 25–31 d. Lietuvos kino teatruose rodytų filmų topas
October 25–31 Lithuanian top</t>
  </si>
  <si>
    <t>287 704 €</t>
  </si>
  <si>
    <t>Laisvo elgesio šeimynėlė (The Radleys)</t>
  </si>
  <si>
    <t>Suspirija (Suspiria)</t>
  </si>
  <si>
    <t>Bagman: šeimos prakeiksmas (Bagman)</t>
  </si>
  <si>
    <t>Tiesos kadras (Lee)</t>
  </si>
  <si>
    <t>337</t>
  </si>
  <si>
    <t>Svečiuose (Gæsterne)</t>
  </si>
  <si>
    <t>Keliantis siaubą 3 (Terrifier 3)</t>
  </si>
  <si>
    <t>Egzorcistas: tikintysis (The Exorcist: Believer)</t>
  </si>
  <si>
    <t>Penkios naktys pas Fredį (Five Nights at Freddy's)</t>
  </si>
  <si>
    <t>Total (43)</t>
  </si>
  <si>
    <t>Lapkričio 1–7 d. Lietuvos kino teatruose rodytų filmų topas
November 1–7 Lithuanian top</t>
  </si>
  <si>
    <t>577 710 €</t>
  </si>
  <si>
    <t>Atpildas (Absolution)</t>
  </si>
  <si>
    <t>Gimtadienis (Birthday Girl)</t>
  </si>
  <si>
    <t>Bloga nuo savęs (Syk Pike)</t>
  </si>
  <si>
    <t>Kaimynai</t>
  </si>
  <si>
    <t>Vabalo filmai</t>
  </si>
  <si>
    <t>Dryžių sergėtojas (Extinction)</t>
  </si>
  <si>
    <t>Kryžkelė (Crossing)</t>
  </si>
  <si>
    <t>Chaoso seserys ir pingvinas Polas (Die Chaosschwestern und Pinguin Paul)</t>
  </si>
  <si>
    <t>Kodas raudonas (Red One)</t>
  </si>
  <si>
    <t>494</t>
  </si>
  <si>
    <t>Lapkričio 8–14 d. Lietuvos kino teatruose rodytų filmų topas
November 8–14 Lithuanian top</t>
  </si>
  <si>
    <t>481 028 €</t>
  </si>
  <si>
    <t>Diplodokas</t>
  </si>
  <si>
    <t>691</t>
  </si>
  <si>
    <t>Suteik man sparnus (Donne moi des Ailes)</t>
  </si>
  <si>
    <t>Gladiatorius 2 (Gladiator 2)</t>
  </si>
  <si>
    <t>Pakilimas (Elevation)</t>
  </si>
  <si>
    <t>Baltic Media Content</t>
  </si>
  <si>
    <t>Niko. Už Šiaurės pašvaistės (Niko: Beyond The Northern Lights)</t>
  </si>
  <si>
    <t>446 630 €</t>
  </si>
  <si>
    <t>Lapkričio 15–21 d. Lietuvos kino teatruose rodytų filmų topas
November 15–21 Lithuanian top</t>
  </si>
  <si>
    <t>Dar po vieną (Druk)</t>
  </si>
  <si>
    <t>Nesiilsėkite ramybėje (Håndtering av udøde)</t>
  </si>
  <si>
    <t>754</t>
  </si>
  <si>
    <t xml:space="preserve">Ypatingieji (The Specials) </t>
  </si>
  <si>
    <t>202-02-07</t>
  </si>
  <si>
    <t>Eretikas (Heretic)</t>
  </si>
  <si>
    <t>Paskutinė Froido sesija (Freud's Last Session)</t>
  </si>
  <si>
    <t>Abipusis sutikimas (Consent)</t>
  </si>
  <si>
    <t>Total (39)</t>
  </si>
  <si>
    <t>Lapkričio 22–28 d. Lietuvos kino teatruose rodytų filmų topas
November 22–28 Lithuanian top</t>
  </si>
  <si>
    <t>550 374 €</t>
  </si>
  <si>
    <t>Lincesa. Miško princesė (Lincessa. The Silences Of The Forest)</t>
  </si>
  <si>
    <t>Viltingas rytojus (There’s Still Tomorrow)</t>
  </si>
  <si>
    <t>Dabar ir visada (Here Now)</t>
  </si>
  <si>
    <t>Gardutė</t>
  </si>
  <si>
    <t>Vajana 2 (Moana 2)</t>
  </si>
  <si>
    <t>4249,6</t>
  </si>
  <si>
    <t>428 674 €</t>
  </si>
  <si>
    <t>Magiškos gyvūnų Kalėdos (Le Grand Noël des Animaux)</t>
  </si>
  <si>
    <t>Piktoji (Wicked)</t>
  </si>
  <si>
    <t>Žiedų valdovas: Rohirimų karas (Lord of the Rings: The War of the Rohirrim)</t>
  </si>
  <si>
    <t>Total (31)</t>
  </si>
  <si>
    <t>Lapkričio 29–gruodžio 5 d. Lietuvos kino teatruose rodytų filmų topas
November 29–December 5 Lithuanian 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</si>
</sst>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;;;"/>
    <numFmt numFmtId="165" formatCode="#,##0\ &quot;€&quot;"/>
    <numFmt numFmtId="166" formatCode="yyyy/mm/dd;@"/>
    <numFmt numFmtId="167" formatCode="0;[Red]0"/>
  </numFmts>
  <fonts count="11">
    <font>
      <sz val="9"/>
      <color theme="1"/>
      <name val="Arial"/>
      <family val="2"/>
      <charset val="186"/>
    </font>
    <font>
      <sz val="9"/>
      <color theme="1"/>
      <name val="Verdana"/>
      <family val="2"/>
      <charset val="186"/>
    </font>
    <font>
      <b/>
      <sz val="12"/>
      <color theme="1"/>
      <name val="Verdana"/>
      <family val="2"/>
      <charset val="186"/>
    </font>
    <font>
      <sz val="11"/>
      <color theme="1"/>
      <name val="Calibri"/>
      <family val="2"/>
      <scheme val="minor"/>
    </font>
    <font>
      <sz val="9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name val="Verdana"/>
      <family val="2"/>
      <charset val="186"/>
    </font>
    <font>
      <sz val="11"/>
      <name val="Calibri"/>
      <family val="2"/>
      <scheme val="minor"/>
    </font>
    <font>
      <sz val="9"/>
      <name val="Arial"/>
      <family val="2"/>
      <charset val="186"/>
    </font>
    <font>
      <sz val="8"/>
      <name val="Arial"/>
      <family val="2"/>
      <charset val="186"/>
    </font>
    <font>
      <sz val="10"/>
      <name val="Arial Cy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EEF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0" fillId="0" borderId="0"/>
  </cellStyleXfs>
  <cellXfs count="75">
    <xf numFmtId="0" fontId="0" fillId="0" borderId="0" xfId="0"/>
    <xf numFmtId="0" fontId="1" fillId="0" borderId="0" xfId="0" applyFont="1"/>
    <xf numFmtId="165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64" fontId="6" fillId="3" borderId="2" xfId="0" applyNumberFormat="1" applyFont="1" applyFill="1" applyBorder="1" applyAlignment="1">
      <alignment horizontal="center" wrapText="1"/>
    </xf>
    <xf numFmtId="49" fontId="6" fillId="3" borderId="2" xfId="0" applyNumberFormat="1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wrapText="1"/>
    </xf>
    <xf numFmtId="0" fontId="4" fillId="0" borderId="0" xfId="0" applyFont="1"/>
    <xf numFmtId="165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65" fontId="5" fillId="0" borderId="0" xfId="1" applyNumberFormat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10" fontId="6" fillId="3" borderId="2" xfId="0" applyNumberFormat="1" applyFont="1" applyFill="1" applyBorder="1" applyAlignment="1">
      <alignment horizontal="center" wrapText="1"/>
    </xf>
    <xf numFmtId="10" fontId="1" fillId="0" borderId="0" xfId="0" applyNumberFormat="1" applyFont="1"/>
    <xf numFmtId="167" fontId="6" fillId="0" borderId="0" xfId="0" applyNumberFormat="1" applyFont="1" applyAlignment="1">
      <alignment horizontal="center" vertical="center"/>
    </xf>
    <xf numFmtId="1" fontId="6" fillId="4" borderId="0" xfId="0" applyNumberFormat="1" applyFont="1" applyFill="1" applyAlignment="1">
      <alignment horizontal="center" vertical="center"/>
    </xf>
    <xf numFmtId="167" fontId="6" fillId="2" borderId="0" xfId="0" applyNumberFormat="1" applyFont="1" applyFill="1" applyAlignment="1">
      <alignment horizontal="center" vertical="center"/>
    </xf>
    <xf numFmtId="1" fontId="5" fillId="4" borderId="0" xfId="0" applyNumberFormat="1" applyFont="1" applyFill="1" applyAlignment="1">
      <alignment horizontal="center" vertical="center"/>
    </xf>
    <xf numFmtId="10" fontId="6" fillId="2" borderId="0" xfId="0" applyNumberFormat="1" applyFont="1" applyFill="1" applyAlignment="1">
      <alignment horizontal="center" vertical="center"/>
    </xf>
    <xf numFmtId="165" fontId="1" fillId="0" borderId="0" xfId="0" applyNumberFormat="1" applyFont="1"/>
    <xf numFmtId="0" fontId="5" fillId="0" borderId="0" xfId="0" applyFont="1"/>
    <xf numFmtId="165" fontId="6" fillId="3" borderId="2" xfId="0" applyNumberFormat="1" applyFont="1" applyFill="1" applyBorder="1" applyAlignment="1">
      <alignment horizontal="center" wrapText="1"/>
    </xf>
    <xf numFmtId="0" fontId="5" fillId="3" borderId="0" xfId="0" applyFont="1" applyFill="1"/>
    <xf numFmtId="0" fontId="6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165" fontId="5" fillId="3" borderId="0" xfId="0" applyNumberFormat="1" applyFont="1" applyFill="1" applyAlignment="1">
      <alignment horizontal="center" vertical="center"/>
    </xf>
    <xf numFmtId="10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5" fontId="5" fillId="3" borderId="0" xfId="0" applyNumberFormat="1" applyFont="1" applyFill="1"/>
    <xf numFmtId="49" fontId="6" fillId="0" borderId="0" xfId="0" applyNumberFormat="1" applyFont="1"/>
    <xf numFmtId="165" fontId="7" fillId="0" borderId="0" xfId="0" applyNumberFormat="1" applyFont="1" applyAlignment="1">
      <alignment horizontal="center" vertical="center"/>
    </xf>
    <xf numFmtId="3" fontId="5" fillId="3" borderId="0" xfId="0" applyNumberFormat="1" applyFont="1" applyFill="1"/>
    <xf numFmtId="3" fontId="1" fillId="0" borderId="0" xfId="0" applyNumberFormat="1" applyFont="1"/>
    <xf numFmtId="0" fontId="1" fillId="0" borderId="0" xfId="0" applyFont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wrapText="1"/>
    </xf>
    <xf numFmtId="167" fontId="5" fillId="0" borderId="0" xfId="0" applyNumberFormat="1" applyFont="1" applyAlignment="1">
      <alignment horizontal="center" vertical="center"/>
    </xf>
    <xf numFmtId="0" fontId="4" fillId="2" borderId="0" xfId="0" applyFont="1" applyFill="1"/>
    <xf numFmtId="14" fontId="6" fillId="0" borderId="0" xfId="0" applyNumberFormat="1" applyFont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wrapText="1"/>
    </xf>
    <xf numFmtId="1" fontId="5" fillId="3" borderId="0" xfId="0" applyNumberFormat="1" applyFont="1" applyFill="1"/>
    <xf numFmtId="1" fontId="1" fillId="0" borderId="0" xfId="0" applyNumberFormat="1" applyFont="1"/>
    <xf numFmtId="0" fontId="6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8" fillId="0" borderId="0" xfId="0" applyFont="1"/>
    <xf numFmtId="165" fontId="0" fillId="0" borderId="0" xfId="0" applyNumberFormat="1"/>
    <xf numFmtId="1" fontId="6" fillId="0" borderId="0" xfId="1" applyNumberFormat="1" applyFont="1" applyAlignment="1">
      <alignment horizontal="center" vertical="center"/>
    </xf>
    <xf numFmtId="10" fontId="6" fillId="0" borderId="0" xfId="1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3">
    <cellStyle name="Normal" xfId="0" builtinId="0"/>
    <cellStyle name="Normal 2 4" xfId="1" xr:uid="{00000000-0005-0000-0000-000001000000}"/>
    <cellStyle name="Обычный_niko_all" xfId="2" xr:uid="{60C91442-0FDF-493A-B4E3-D345864F3B70}"/>
  </cellStyles>
  <dxfs count="9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rgb="FFD1E7D8"/>
          <bgColor theme="8" tint="0.79998168889431442"/>
        </patternFill>
      </fill>
    </dxf>
    <dxf>
      <fill>
        <patternFill>
          <bgColor theme="4" tint="0.79998168889431442"/>
        </patternFill>
      </fill>
    </dxf>
  </dxfs>
  <tableStyles count="2" defaultTableStyle="TableStyleMedium2" defaultPivotStyle="PivotStyleLight16">
    <tableStyle name="Table Style 1" pivot="0" count="1" xr9:uid="{0EEDF895-ABA7-4BDC-BFB1-553B25394E7D}">
      <tableStyleElement type="wholeTable" dxfId="955"/>
    </tableStyle>
    <tableStyle name="Table Style 2" pivot="0" count="1" xr9:uid="{27931E3F-712C-485E-A1F4-53DFE01A40F1}">
      <tableStyleElement type="wholeTable" dxfId="954"/>
    </tableStyle>
  </tableStyles>
  <colors>
    <mruColors>
      <color rgb="FFE8EEF8"/>
      <color rgb="FFEDF7F7"/>
      <color rgb="FFDDEDEF"/>
      <color rgb="FFD1E7D8"/>
      <color rgb="FFDEEEE3"/>
      <color rgb="FFD6EADC"/>
      <color rgb="FFBFD3C5"/>
      <color rgb="FFE7F5F0"/>
      <color rgb="FFC9E5CE"/>
      <color rgb="FFD4E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ustė Jucytė" id="{5AC5A0A0-8CC0-45CD-8FA7-CED1C43FC381}" userId="S::a.jucyte@lkc.lt::6d03d179-e10e-42f9-a7ce-ccb6a9fc20ce" providerId="AD"/>
  <person displayName="Eglė Šinkūnaitė" id="{95D04751-29A9-4A66-A4B0-927989AA827A}" userId="S::e.sinkunaite@lkc.lt::ac2834e0-63fd-4758-bb33-8fb6c5627190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F41954AF-63E9-462A-AEA4-E03F1285B933}" name="Table1324567891011121314151716182819202122232425262729" displayName="Table1324567891011121314151716182819202122232425262729" ref="A2:O34" totalsRowCount="1" headerRowDxfId="953" dataDxfId="951" totalsRowDxfId="950" headerRowBorderDxfId="952">
  <sortState xmlns:xlrd2="http://schemas.microsoft.com/office/spreadsheetml/2017/richdata2" ref="A3:O33">
    <sortCondition descending="1" ref="D3:D33"/>
  </sortState>
  <tableColumns count="15">
    <tableColumn id="1" xr3:uid="{976B68AF-7305-4A04-ACC9-482396B2BBAD}" name="#" dataDxfId="949" totalsRowDxfId="948"/>
    <tableColumn id="2" xr3:uid="{731EBF46-70F6-4E32-BC93-68A3D29F8966}" name="#_x000a_LW" totalsRowLabel=" " dataDxfId="947" totalsRowDxfId="946"/>
    <tableColumn id="3" xr3:uid="{666A64ED-A386-4B3E-BB59-81CA9D185365}" name="Filmas _x000a_(Movie)" totalsRowLabel="Total (31)" dataDxfId="945" totalsRowDxfId="944"/>
    <tableColumn id="4" xr3:uid="{C3053533-9516-49E2-B68B-0299F3FDBC4C}" name="Pajamos _x000a_(GBO)" totalsRowFunction="sum" dataDxfId="943" totalsRowDxfId="942"/>
    <tableColumn id="5" xr3:uid="{79BA5BD2-1E2B-43BF-81A1-CDEF283F2544}" name="Pajamos _x000a_praeita sav._x000a_(GBO LW)" totalsRowLabel="428 674 €" dataDxfId="941" totalsRowDxfId="940" dataCellStyle="Normal 2 4"/>
    <tableColumn id="6" xr3:uid="{B45E06E9-5BDF-4DC7-B035-23109516D789}" name="Pakitimas_x000a_(Change)" totalsRowFunction="custom" dataDxfId="939" totalsRowDxfId="938">
      <calculatedColumnFormula>(D3-E3)/E3</calculatedColumnFormula>
      <totalsRowFormula>(D34-E34)/E34</totalsRowFormula>
    </tableColumn>
    <tableColumn id="7" xr3:uid="{B678DC39-09D5-47F8-830A-AC703FBCC3C5}" name="Žiūrovų sk. _x000a_(ADM)" totalsRowFunction="sum" dataDxfId="937" totalsRowDxfId="936"/>
    <tableColumn id="8" xr3:uid="{8D4E3861-AD15-476B-911B-1ECBBE969454}" name="Seansų sk. _x000a_(Show count)" dataDxfId="935" totalsRowDxfId="934"/>
    <tableColumn id="9" xr3:uid="{11036FA0-FF66-4102-A594-E45A11D49C81}" name="Lankomumo vid._x000a_(Average ADM)" dataDxfId="933" totalsRowDxfId="932">
      <calculatedColumnFormula>G3/H3</calculatedColumnFormula>
    </tableColumn>
    <tableColumn id="10" xr3:uid="{4E366082-9687-4E3C-A043-FC5A3B96164F}" name="Kopijų sk. _x000a_(DCO count)" dataDxfId="931" totalsRowDxfId="930"/>
    <tableColumn id="11" xr3:uid="{9FB47017-91AF-4E9B-9DA0-89969233BC54}" name="Rodymo savaitė_x000a_(Week on screen)" dataDxfId="929" totalsRowDxfId="928"/>
    <tableColumn id="12" xr3:uid="{3D3A039E-0893-4739-8EE8-E433E599D3FF}" name="Bendros pajamos _x000a_(Total GBO)" dataDxfId="927" totalsRowDxfId="926"/>
    <tableColumn id="13" xr3:uid="{57687FBE-D84E-434C-BDCA-FC15169A8F71}" name="Bendras žiūrovų sk._x000a_(Total ADM)" dataDxfId="925" totalsRowDxfId="924"/>
    <tableColumn id="14" xr3:uid="{252C8BE4-438B-40D6-B920-D3669260B456}" name="Premjeros data _x000a_(Release date)" dataDxfId="923" totalsRowDxfId="922"/>
    <tableColumn id="15" xr3:uid="{FE1BCD30-20A4-449E-8E58-A30B968F6B35}" name="Platintojas _x000a_(Distributor)" totalsRowLabel=" " dataDxfId="921" totalsRowDxfId="920"/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3FB650A4-198F-42B5-927C-674BBD5A77DB}" name="Table1324567891011121314151716182819" displayName="Table1324567891011121314151716182819" ref="A2:O35" totalsRowCount="1" headerRowDxfId="647" dataDxfId="645" totalsRowDxfId="644" headerRowBorderDxfId="646">
  <sortState xmlns:xlrd2="http://schemas.microsoft.com/office/spreadsheetml/2017/richdata2" ref="A3:O34">
    <sortCondition descending="1" ref="D3:D34"/>
  </sortState>
  <tableColumns count="15">
    <tableColumn id="1" xr3:uid="{14A662A0-73B6-422F-AE3B-EDA35DC36278}" name="#" dataDxfId="643" totalsRowDxfId="642"/>
    <tableColumn id="2" xr3:uid="{44933358-9E68-46A9-9BA5-A6916FE107CB}" name="#_x000a_LW" totalsRowLabel=" " dataDxfId="641" totalsRowDxfId="640"/>
    <tableColumn id="3" xr3:uid="{DB9A4322-0356-42C3-B25F-4F1B488F766C}" name="Filmas _x000a_(Movie)" totalsRowLabel="Total (32)" dataDxfId="639" totalsRowDxfId="638"/>
    <tableColumn id="4" xr3:uid="{5AAB87B1-85E5-4562-ACBA-C493FB40A107}" name="Pajamos _x000a_(GBO)" totalsRowFunction="sum" dataDxfId="637" totalsRowDxfId="636"/>
    <tableColumn id="5" xr3:uid="{E533FD37-994B-4E93-A7DD-2076AC1BE3DB}" name="Pajamos _x000a_praeita sav._x000a_(GBO LW)" totalsRowLabel="296 701 €" dataDxfId="635" totalsRowDxfId="634" dataCellStyle="Normal 2 4"/>
    <tableColumn id="6" xr3:uid="{A80608B8-8D7D-484E-80DB-D37D381D017E}" name="Pakitimas_x000a_(Change)" totalsRowFunction="custom" dataDxfId="633" totalsRowDxfId="632">
      <calculatedColumnFormula>(D3-E3)/E3</calculatedColumnFormula>
      <totalsRowFormula>(D35-E35)/E35</totalsRowFormula>
    </tableColumn>
    <tableColumn id="7" xr3:uid="{9F4D26D8-5677-4F8D-B813-2D5908247CB2}" name="Žiūrovų sk. _x000a_(ADM)" totalsRowFunction="sum" dataDxfId="631" totalsRowDxfId="630"/>
    <tableColumn id="8" xr3:uid="{542D6BDB-139F-429F-B275-37418807C3FF}" name="Seansų sk. _x000a_(Show count)" dataDxfId="629" totalsRowDxfId="628"/>
    <tableColumn id="9" xr3:uid="{58820E02-C1CE-4A7C-A990-353750654618}" name="Lankomumo vid._x000a_(Average ADM)" dataDxfId="627" totalsRowDxfId="626">
      <calculatedColumnFormula>G3/H3</calculatedColumnFormula>
    </tableColumn>
    <tableColumn id="10" xr3:uid="{0529144A-A1DF-4797-82FB-52538C10064B}" name="Kopijų sk. _x000a_(DCO count)" dataDxfId="625" totalsRowDxfId="624"/>
    <tableColumn id="11" xr3:uid="{8C5416AD-659D-4437-BB73-080CC1D42B56}" name="Rodymo savaitė_x000a_(Week on screen)" dataDxfId="623" totalsRowDxfId="622"/>
    <tableColumn id="12" xr3:uid="{09515E37-4EB3-4B74-9C16-CF277CA17EA6}" name="Bendros pajamos _x000a_(Total GBO)" dataDxfId="621" totalsRowDxfId="620"/>
    <tableColumn id="13" xr3:uid="{202487DE-88E9-4888-9BF7-4F5886AEBDAB}" name="Bendras žiūrovų sk._x000a_(Total ADM)" dataDxfId="619" totalsRowDxfId="618"/>
    <tableColumn id="14" xr3:uid="{374C1912-F030-4072-A467-A20ACDB061FF}" name="Premjeros data _x000a_(Release date)" dataDxfId="617" totalsRowDxfId="616"/>
    <tableColumn id="15" xr3:uid="{19EC59AF-0DA6-4A14-B384-ABAC79F066B1}" name="Platintojas _x000a_(Distributor)" totalsRowLabel=" " dataDxfId="615" totalsRowDxfId="614"/>
  </tableColumns>
  <tableStyleInfo name="TableStyleLight1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37DA92DA-1839-42E3-B654-8E012266B7B4}" name="Table13245678910111213141517161828" displayName="Table13245678910111213141517161828" ref="A2:O37" totalsRowCount="1" headerRowDxfId="613" dataDxfId="611" totalsRowDxfId="610" headerRowBorderDxfId="612">
  <sortState xmlns:xlrd2="http://schemas.microsoft.com/office/spreadsheetml/2017/richdata2" ref="A3:O36">
    <sortCondition descending="1" ref="D3:D36"/>
  </sortState>
  <tableColumns count="15">
    <tableColumn id="1" xr3:uid="{DF7E5544-4B6D-4279-B2B3-5AD7865BEEF9}" name="#" dataDxfId="609" totalsRowDxfId="608"/>
    <tableColumn id="2" xr3:uid="{8B500DD2-679E-4543-9A74-AFEDF244B86D}" name="#_x000a_LW" totalsRowLabel=" " dataDxfId="607" totalsRowDxfId="606"/>
    <tableColumn id="3" xr3:uid="{78A6F085-7DF0-4109-BBDF-39011E4DAFE5}" name="Filmas _x000a_(Movie)" totalsRowLabel="Total (34)" dataDxfId="605" totalsRowDxfId="604"/>
    <tableColumn id="4" xr3:uid="{54064C52-323D-4882-9A91-B28628231B39}" name="Pajamos _x000a_(GBO)" totalsRowFunction="sum" dataDxfId="603" totalsRowDxfId="602"/>
    <tableColumn id="5" xr3:uid="{9FFE167A-936F-4D52-BC56-A99630A276B5}" name="Pajamos _x000a_praeita sav._x000a_(GBO LW)" totalsRowLabel="215 943 €" dataDxfId="601" totalsRowDxfId="600" dataCellStyle="Normal 2 4"/>
    <tableColumn id="6" xr3:uid="{A27652BB-7209-4E65-9FD7-81B6F0DAD5E4}" name="Pakitimas_x000a_(Change)" totalsRowFunction="custom" dataDxfId="599" totalsRowDxfId="598">
      <calculatedColumnFormula>(D3-E3)/E3</calculatedColumnFormula>
      <totalsRowFormula>(D37-E37)/E37</totalsRowFormula>
    </tableColumn>
    <tableColumn id="7" xr3:uid="{BF03F0F1-5A0F-43FF-BD6A-BC2EDFE4B07A}" name="Žiūrovų sk. _x000a_(ADM)" totalsRowFunction="sum" dataDxfId="597" totalsRowDxfId="596"/>
    <tableColumn id="8" xr3:uid="{96505F92-8C42-4536-894B-4F342F25AD15}" name="Seansų sk. _x000a_(Show count)" dataDxfId="595" totalsRowDxfId="594"/>
    <tableColumn id="9" xr3:uid="{11C4E1C2-E750-4050-956F-23894238CCF4}" name="Lankomumo vid._x000a_(Average ADM)" dataDxfId="593" totalsRowDxfId="592">
      <calculatedColumnFormula>G3/H3</calculatedColumnFormula>
    </tableColumn>
    <tableColumn id="10" xr3:uid="{5A28D114-0336-42EA-A24B-31F55CB83B15}" name="Kopijų sk. _x000a_(DCO count)" dataDxfId="591" totalsRowDxfId="590"/>
    <tableColumn id="11" xr3:uid="{FC151B5F-9F05-4A01-8FAA-E023B40F3BC2}" name="Rodymo savaitė_x000a_(Week on screen)" dataDxfId="589" totalsRowDxfId="588"/>
    <tableColumn id="12" xr3:uid="{3B6D342E-DBEB-4EB0-92B3-7C04561ACB23}" name="Bendros pajamos _x000a_(Total GBO)" dataDxfId="587" totalsRowDxfId="586"/>
    <tableColumn id="13" xr3:uid="{6C459D5F-2F22-4EC7-9689-4EAB3CDC9BA8}" name="Bendras žiūrovų sk._x000a_(Total ADM)" dataDxfId="585" totalsRowDxfId="584"/>
    <tableColumn id="14" xr3:uid="{54B0A645-AD7F-4264-A198-9F1E1D1FC288}" name="Premjeros data _x000a_(Release date)" dataDxfId="583" totalsRowDxfId="582"/>
    <tableColumn id="15" xr3:uid="{FF4955A7-D5F4-404C-AB93-2A43259ED2EF}" name="Platintojas _x000a_(Distributor)" totalsRowLabel=" " dataDxfId="581" totalsRowDxfId="580"/>
  </tableColumns>
  <tableStyleInfo name="TableStyleLight1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AEC79F48-380F-4879-9A09-65856F460506}" name="Table132456789101112131415171618" displayName="Table132456789101112131415171618" ref="A2:O39" totalsRowCount="1" headerRowDxfId="579" dataDxfId="577" totalsRowDxfId="576" headerRowBorderDxfId="578">
  <sortState xmlns:xlrd2="http://schemas.microsoft.com/office/spreadsheetml/2017/richdata2" ref="A3:O38">
    <sortCondition descending="1" ref="D3:D38"/>
  </sortState>
  <tableColumns count="15">
    <tableColumn id="1" xr3:uid="{AC14EB5A-B6C7-4535-A80A-9E9FF803099D}" name="#" dataDxfId="575" totalsRowDxfId="574"/>
    <tableColumn id="2" xr3:uid="{3A47130D-B58F-4232-A605-EBFA375C76FA}" name="#_x000a_LW" totalsRowLabel=" " dataDxfId="573" totalsRowDxfId="572"/>
    <tableColumn id="3" xr3:uid="{683CE7F2-BFAA-47D2-A5CD-95A4B0CED245}" name="Filmas _x000a_(Movie)" totalsRowLabel="Total (36)" dataDxfId="571" totalsRowDxfId="570"/>
    <tableColumn id="4" xr3:uid="{4F88BE7E-E0DF-47EB-A5FA-08167C8C9813}" name="Pajamos _x000a_(GBO)" totalsRowFunction="sum" dataDxfId="569" totalsRowDxfId="568"/>
    <tableColumn id="5" xr3:uid="{0C587671-0EE6-4A51-9C6A-ED9EF4D51134}" name="Pajamos _x000a_praeita sav._x000a_(GBO LW)" totalsRowLabel="215 943 €" dataDxfId="567" totalsRowDxfId="566" dataCellStyle="Normal 2 4"/>
    <tableColumn id="6" xr3:uid="{ABA26110-E188-4904-9BB2-BC0D66589E75}" name="Pakitimas_x000a_(Change)" totalsRowFunction="custom" dataDxfId="565" totalsRowDxfId="564">
      <calculatedColumnFormula>(D3-E3)/E3</calculatedColumnFormula>
      <totalsRowFormula>(D39-E39)/E39</totalsRowFormula>
    </tableColumn>
    <tableColumn id="7" xr3:uid="{F0EE5DE6-70A7-450F-98F7-8FBE474C50F0}" name="Žiūrovų sk. _x000a_(ADM)" totalsRowFunction="sum" dataDxfId="563" totalsRowDxfId="562"/>
    <tableColumn id="8" xr3:uid="{3D03F05C-0D20-447A-B88E-517E618724DE}" name="Seansų sk. _x000a_(Show count)" dataDxfId="561" totalsRowDxfId="560"/>
    <tableColumn id="9" xr3:uid="{68497431-DB12-4528-B0A4-DC1A36FA8670}" name="Lankomumo vid._x000a_(Average ADM)" dataDxfId="559" totalsRowDxfId="558">
      <calculatedColumnFormula>G3/H3</calculatedColumnFormula>
    </tableColumn>
    <tableColumn id="10" xr3:uid="{CD9C046B-79D8-4DE7-99B4-1CAD6790F917}" name="Kopijų sk. _x000a_(DCO count)" dataDxfId="557" totalsRowDxfId="556"/>
    <tableColumn id="11" xr3:uid="{4A271C47-A734-4086-BC0E-0A918A574F1B}" name="Rodymo savaitė_x000a_(Week on screen)" dataDxfId="555" totalsRowDxfId="554"/>
    <tableColumn id="12" xr3:uid="{BF990710-EAF1-489B-A306-B337FBC2DE4D}" name="Bendros pajamos _x000a_(Total GBO)" dataDxfId="553" totalsRowDxfId="552"/>
    <tableColumn id="13" xr3:uid="{6E91DC82-AAC9-4090-BFA5-BEAC55902673}" name="Bendras žiūrovų sk._x000a_(Total ADM)" dataDxfId="551" totalsRowDxfId="550"/>
    <tableColumn id="14" xr3:uid="{A1C8731B-1FDF-4F67-B5B6-13677018AE2E}" name="Premjeros data _x000a_(Release date)" dataDxfId="549" totalsRowDxfId="548"/>
    <tableColumn id="15" xr3:uid="{8AF38905-D9AC-42CC-A58F-F9A3A0694CCD}" name="Platintojas _x000a_(Distributor)" totalsRowLabel=" " dataDxfId="547" totalsRowDxfId="546"/>
  </tableColumns>
  <tableStyleInfo name="TableStyleLight1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F068F19F-F597-4A5C-89E4-C8735E1A9E92}" name="Table1324567891011121314151716" displayName="Table1324567891011121314151716" ref="A2:O38" totalsRowCount="1" headerRowDxfId="545" dataDxfId="543" totalsRowDxfId="542" headerRowBorderDxfId="544">
  <sortState xmlns:xlrd2="http://schemas.microsoft.com/office/spreadsheetml/2017/richdata2" ref="A3:O37">
    <sortCondition descending="1" ref="D3:D37"/>
  </sortState>
  <tableColumns count="15">
    <tableColumn id="1" xr3:uid="{D03200B5-1121-4BDC-A6A8-B926DBA8D527}" name="#" dataDxfId="541" totalsRowDxfId="540"/>
    <tableColumn id="2" xr3:uid="{F3F4163A-EF45-4C89-94DA-F4E16089EB01}" name="#_x000a_LW" totalsRowLabel=" " dataDxfId="539" totalsRowDxfId="538"/>
    <tableColumn id="3" xr3:uid="{9482FB03-1357-4CAB-8EB2-15313A7D9E6F}" name="Filmas _x000a_(Movie)" totalsRowLabel="Total (35)" dataDxfId="537" totalsRowDxfId="536"/>
    <tableColumn id="4" xr3:uid="{7F2B6ACD-8E4B-4038-98C8-0079F04512A9}" name="Pajamos _x000a_(GBO)" totalsRowFunction="sum" dataDxfId="535" totalsRowDxfId="534"/>
    <tableColumn id="5" xr3:uid="{03F2DD56-B5BE-48EB-9C14-FB3397E00CF7}" name="Pajamos _x000a_praeita sav._x000a_(GBO LW)" totalsRowFunction="custom" dataDxfId="533" totalsRowDxfId="532" dataCellStyle="Normal 2 4">
      <totalsRowFormula>SUBTOTAL(109,Table13245678910111213141517[Pajamos 
(GBO)])</totalsRowFormula>
    </tableColumn>
    <tableColumn id="6" xr3:uid="{DD975026-EA85-4568-88F8-CD723C56B269}" name="Pakitimas_x000a_(Change)" totalsRowFunction="custom" dataDxfId="531" totalsRowDxfId="530">
      <calculatedColumnFormula>(D3-E3)/E3</calculatedColumnFormula>
      <totalsRowFormula>(D38-E38)/E38</totalsRowFormula>
    </tableColumn>
    <tableColumn id="7" xr3:uid="{F18EE19E-CF3B-40C0-820A-29093A849472}" name="Žiūrovų sk. _x000a_(ADM)" totalsRowFunction="sum" dataDxfId="529" totalsRowDxfId="528"/>
    <tableColumn id="8" xr3:uid="{8A9FD286-B42C-4D86-802D-8582039414C3}" name="Seansų sk. _x000a_(Show count)" dataDxfId="527" totalsRowDxfId="526"/>
    <tableColumn id="9" xr3:uid="{8FF148FB-36C1-4091-99C2-379D279B7C3E}" name="Lankomumo vid._x000a_(Average ADM)" dataDxfId="525" totalsRowDxfId="524">
      <calculatedColumnFormula>G3/H3</calculatedColumnFormula>
    </tableColumn>
    <tableColumn id="10" xr3:uid="{3029AADC-F1D6-4EFC-BBAB-C344E3A4AAFF}" name="Kopijų sk. _x000a_(DCO count)" dataDxfId="523" totalsRowDxfId="522"/>
    <tableColumn id="11" xr3:uid="{D70678E3-8C6F-4A53-BB3D-BC7FFDD9F31A}" name="Rodymo savaitė_x000a_(Week on screen)" dataDxfId="521" totalsRowDxfId="520"/>
    <tableColumn id="12" xr3:uid="{B07EEF09-8106-4B16-B5FA-1DA24389C30B}" name="Bendros pajamos _x000a_(Total GBO)" dataDxfId="519" totalsRowDxfId="518"/>
    <tableColumn id="13" xr3:uid="{96AF29AB-10BF-4ED1-A4CF-8F500DDA9996}" name="Bendras žiūrovų sk._x000a_(Total ADM)" dataDxfId="517" totalsRowDxfId="516"/>
    <tableColumn id="14" xr3:uid="{8D8644B5-8FD3-4B52-B3B2-96BC55578E1E}" name="Premjeros data _x000a_(Release date)" dataDxfId="515" totalsRowDxfId="514"/>
    <tableColumn id="15" xr3:uid="{084D6275-C1F9-4BAC-99B4-2B09962904EC}" name="Platintojas _x000a_(Distributor)" totalsRowLabel=" " dataDxfId="513" totalsRowDxfId="512"/>
  </tableColumns>
  <tableStyleInfo name="TableStyleLight18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72B42BD8-AAEF-4551-96C0-98D47E75CAE7}" name="Table13245678910111213141517" displayName="Table13245678910111213141517" ref="A2:O41" totalsRowCount="1" headerRowDxfId="511" dataDxfId="509" totalsRowDxfId="508" headerRowBorderDxfId="510">
  <sortState xmlns:xlrd2="http://schemas.microsoft.com/office/spreadsheetml/2017/richdata2" ref="A3:O40">
    <sortCondition descending="1" ref="D3:D40"/>
  </sortState>
  <tableColumns count="15">
    <tableColumn id="1" xr3:uid="{6AE6F208-D5BF-4F96-8839-0879A23375A9}" name="#" dataDxfId="507" totalsRowDxfId="506"/>
    <tableColumn id="2" xr3:uid="{0D6630C6-A8C4-4C71-A211-47A3C4050D78}" name="#_x000a_LW" totalsRowLabel=" " dataDxfId="505" totalsRowDxfId="504"/>
    <tableColumn id="3" xr3:uid="{CC64A81B-2FEE-44A7-8C12-966160ADF416}" name="Filmas _x000a_(Movie)" totalsRowLabel="Total (38)" dataDxfId="503" totalsRowDxfId="502"/>
    <tableColumn id="4" xr3:uid="{47715C76-85D5-4D72-9E3A-8D00A0408AEA}" name="Pajamos _x000a_(GBO)" totalsRowFunction="sum" dataDxfId="501" totalsRowDxfId="500"/>
    <tableColumn id="5" xr3:uid="{378962CC-0626-4D47-A728-6DC62A98A842}" name="Pajamos _x000a_praeita sav._x000a_(GBO LW)" totalsRowFunction="custom" dataDxfId="499" totalsRowDxfId="498" dataCellStyle="Normal 2 4">
      <totalsRowFormula>SUBTOTAL(109,Table132456789101112131415[Pajamos 
(GBO)])</totalsRowFormula>
    </tableColumn>
    <tableColumn id="6" xr3:uid="{B9DDE3B1-F69A-4185-B690-FFC7E8DFD3D2}" name="Pakitimas_x000a_(Change)" totalsRowFunction="custom" dataDxfId="497" totalsRowDxfId="496">
      <calculatedColumnFormula>(D3-E3)/E3</calculatedColumnFormula>
      <totalsRowFormula>(D41-E41)/E41</totalsRowFormula>
    </tableColumn>
    <tableColumn id="7" xr3:uid="{7EE685BD-2B9A-4E16-AE56-5D381FCD4CE3}" name="Žiūrovų sk. _x000a_(ADM)" totalsRowFunction="sum" dataDxfId="495" totalsRowDxfId="494"/>
    <tableColumn id="8" xr3:uid="{A13D1E3C-CA7B-4DDE-B1A6-A45A662D2691}" name="Seansų sk. _x000a_(Show count)" dataDxfId="493" totalsRowDxfId="492"/>
    <tableColumn id="9" xr3:uid="{2147DE2A-4434-4026-BD0E-CFC6FBA46025}" name="Lankomumo vid._x000a_(Average ADM)" dataDxfId="491" totalsRowDxfId="490">
      <calculatedColumnFormula>G3/H3</calculatedColumnFormula>
    </tableColumn>
    <tableColumn id="10" xr3:uid="{2F16F4BA-3272-4601-9CB4-6F2FAAFFF983}" name="Kopijų sk. _x000a_(DCO count)" dataDxfId="489" totalsRowDxfId="488"/>
    <tableColumn id="11" xr3:uid="{924B7799-E0F8-4891-9108-8CF8B601B291}" name="Rodymo savaitė_x000a_(Week on screen)" dataDxfId="487" totalsRowDxfId="486"/>
    <tableColumn id="12" xr3:uid="{9609CE43-89D7-4F43-B4D8-88011EBC6C01}" name="Bendros pajamos _x000a_(Total GBO)" dataDxfId="485" totalsRowDxfId="484"/>
    <tableColumn id="13" xr3:uid="{F2F7536E-C73A-4C92-BFD7-8402A0E133EF}" name="Bendras žiūrovų sk._x000a_(Total ADM)" dataDxfId="483" totalsRowDxfId="482"/>
    <tableColumn id="14" xr3:uid="{723AA09A-E128-4838-B69F-2ABE0207CCF9}" name="Premjeros data _x000a_(Release date)" dataDxfId="481" totalsRowDxfId="480"/>
    <tableColumn id="15" xr3:uid="{7E22EA42-891E-4CCD-B2FC-97445B2B3276}" name="Platintojas _x000a_(Distributor)" totalsRowLabel=" " dataDxfId="479" totalsRowDxfId="478"/>
  </tableColumns>
  <tableStyleInfo name="TableStyleLight18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62C3461-AC14-4176-82F6-653623964373}" name="Table132456789101112131415" displayName="Table132456789101112131415" ref="A2:O37" totalsRowCount="1" headerRowDxfId="477" dataDxfId="475" totalsRowDxfId="474" headerRowBorderDxfId="476">
  <sortState xmlns:xlrd2="http://schemas.microsoft.com/office/spreadsheetml/2017/richdata2" ref="A3:O36">
    <sortCondition descending="1" ref="D3:D36"/>
  </sortState>
  <tableColumns count="15">
    <tableColumn id="1" xr3:uid="{75B2E742-6B1D-4992-B43E-932848CC0B92}" name="#" dataDxfId="473" totalsRowDxfId="472"/>
    <tableColumn id="2" xr3:uid="{41215FB8-EF27-4481-A2C1-6D24597C56A6}" name="#_x000a_LW" totalsRowLabel=" " dataDxfId="471" totalsRowDxfId="470"/>
    <tableColumn id="3" xr3:uid="{66BDCB6B-2D48-423D-9C6D-D260B1453996}" name="Filmas _x000a_(Movie)" totalsRowLabel="Total (34)" dataDxfId="469" totalsRowDxfId="468"/>
    <tableColumn id="4" xr3:uid="{8DD26B7B-E17C-40B6-AAAA-832EFF11A78C}" name="Pajamos _x000a_(GBO)" totalsRowFunction="sum" dataDxfId="467" totalsRowDxfId="466"/>
    <tableColumn id="5" xr3:uid="{CCF76EAF-9705-43FC-B856-4B0FFFCF68A9}" name="Pajamos _x000a_praeita sav._x000a_(GBO LW)" totalsRowLabel="429 936 €" dataDxfId="465" totalsRowDxfId="464" dataCellStyle="Normal 2 4"/>
    <tableColumn id="6" xr3:uid="{BADAE6EA-0D45-474C-96B5-52A9439D6091}" name="Pakitimas_x000a_(Change)" totalsRowFunction="custom" dataDxfId="463" totalsRowDxfId="462">
      <calculatedColumnFormula>(D3-E3)/E3</calculatedColumnFormula>
      <totalsRowFormula>(D37-E37)/E37</totalsRowFormula>
    </tableColumn>
    <tableColumn id="7" xr3:uid="{3C63F12A-74BA-4056-A81D-F7DEBC0DFBAD}" name="Žiūrovų sk. _x000a_(ADM)" totalsRowFunction="sum" dataDxfId="461" totalsRowDxfId="460"/>
    <tableColumn id="8" xr3:uid="{7CD2C41B-7A10-45D9-B74E-D85ECF79F0E5}" name="Seansų sk. _x000a_(Show count)" dataDxfId="459" totalsRowDxfId="458"/>
    <tableColumn id="9" xr3:uid="{AEBF5C76-5C36-4D51-B7A1-4ED107A99CE0}" name="Lankomumo vid._x000a_(Average ADM)" dataDxfId="457" totalsRowDxfId="456">
      <calculatedColumnFormula>G3/H3</calculatedColumnFormula>
    </tableColumn>
    <tableColumn id="10" xr3:uid="{D2A408B5-1211-4AEA-BBCA-29C36481EC5C}" name="Kopijų sk. _x000a_(DCO count)" dataDxfId="455" totalsRowDxfId="454"/>
    <tableColumn id="11" xr3:uid="{6E4E500B-F8EA-47BB-AB13-92A3B61F6C3A}" name="Rodymo savaitė_x000a_(Week on screen)" dataDxfId="453" totalsRowDxfId="452"/>
    <tableColumn id="12" xr3:uid="{EC688DF0-1111-40F1-B6FF-BDD23CCE063D}" name="Bendros pajamos _x000a_(Total GBO)" dataDxfId="451" totalsRowDxfId="450"/>
    <tableColumn id="13" xr3:uid="{2CD6EB49-E98A-40C1-A633-88AD97E8A535}" name="Bendras žiūrovų sk._x000a_(Total ADM)" dataDxfId="449" totalsRowDxfId="448"/>
    <tableColumn id="14" xr3:uid="{F2FA6168-FFCA-4699-A421-35BF43635B32}" name="Premjeros data _x000a_(Release date)" dataDxfId="447" totalsRowDxfId="446"/>
    <tableColumn id="15" xr3:uid="{9179C102-0D8D-4AE1-8495-AF426C6D830B}" name="Platintojas _x000a_(Distributor)" totalsRowLabel=" " dataDxfId="445" totalsRowDxfId="444"/>
  </tableColumns>
  <tableStyleInfo name="TableStyleLight18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6B5834E-E5FD-4F21-A2CF-2B8006D68952}" name="Table1324567891011121314" displayName="Table1324567891011121314" ref="A2:O44" totalsRowCount="1" headerRowDxfId="443" dataDxfId="441" totalsRowDxfId="440" headerRowBorderDxfId="442">
  <sortState xmlns:xlrd2="http://schemas.microsoft.com/office/spreadsheetml/2017/richdata2" ref="A3:O43">
    <sortCondition descending="1" ref="D3:D43"/>
  </sortState>
  <tableColumns count="15">
    <tableColumn id="1" xr3:uid="{422BBB81-A751-4F3A-B020-5DC7F6492649}" name="#" dataDxfId="439" totalsRowDxfId="438"/>
    <tableColumn id="2" xr3:uid="{D57A085D-0741-495C-A459-31CB72854791}" name="#_x000a_LW" totalsRowLabel=" " dataDxfId="437" totalsRowDxfId="436"/>
    <tableColumn id="3" xr3:uid="{4F8F8D16-170C-4552-B1EC-7827016D313D}" name="Filmas _x000a_(Movie)" totalsRowLabel="Total (41)" dataDxfId="435" totalsRowDxfId="434"/>
    <tableColumn id="4" xr3:uid="{F932D292-A111-48B9-A11D-ADF9AD0C8E45}" name="Pajamos _x000a_(GBO)" totalsRowFunction="sum" dataDxfId="433" totalsRowDxfId="432"/>
    <tableColumn id="5" xr3:uid="{E4173A5A-4364-4AEA-8F5E-F2F959202291}" name="Pajamos _x000a_praeita sav._x000a_(GBO LW)" totalsRowLabel="647 727 €" dataDxfId="431" totalsRowDxfId="430"/>
    <tableColumn id="6" xr3:uid="{6CE5F88E-D8CC-4E51-95EE-61653C21D5E1}" name="Pakitimas_x000a_(Change)" totalsRowFunction="custom" dataDxfId="429" totalsRowDxfId="428">
      <calculatedColumnFormula>(D3-E3)/E3</calculatedColumnFormula>
      <totalsRowFormula>(D44-E44)/E44</totalsRowFormula>
    </tableColumn>
    <tableColumn id="7" xr3:uid="{95ADA469-E373-4DF3-AEEA-5F4B1E3115C4}" name="Žiūrovų sk. _x000a_(ADM)" totalsRowFunction="sum" dataDxfId="427" totalsRowDxfId="426"/>
    <tableColumn id="8" xr3:uid="{603521F0-533B-47E8-8A23-2079EAC29BE8}" name="Seansų sk. _x000a_(Show count)" dataDxfId="425" totalsRowDxfId="424"/>
    <tableColumn id="9" xr3:uid="{99F4791C-CFEA-494C-B513-C13DDF026AD3}" name="Lankomumo vid._x000a_(Average ADM)" dataDxfId="423" totalsRowDxfId="422">
      <calculatedColumnFormula>G3/H3</calculatedColumnFormula>
    </tableColumn>
    <tableColumn id="10" xr3:uid="{977D4C92-3476-4186-ABFD-B09D1A40423B}" name="Kopijų sk. _x000a_(DCO count)" dataDxfId="421" totalsRowDxfId="420"/>
    <tableColumn id="11" xr3:uid="{02886399-B9DD-4B94-A7FB-9981A53CF647}" name="Rodymo savaitė_x000a_(Week on screen)" dataDxfId="419" totalsRowDxfId="418"/>
    <tableColumn id="12" xr3:uid="{E450EF33-C950-479A-9154-C293FA8031BD}" name="Bendros pajamos _x000a_(Total GBO)" dataDxfId="417" totalsRowDxfId="416"/>
    <tableColumn id="13" xr3:uid="{AC41B317-5EAC-4BCD-B9BE-DACAC35A4E83}" name="Bendras žiūrovų sk._x000a_(Total ADM)" dataDxfId="415" totalsRowDxfId="414"/>
    <tableColumn id="14" xr3:uid="{C1DBC60B-B8CA-4F27-AD75-4F4DED1BDD26}" name="Premjeros data _x000a_(Release date)" dataDxfId="413" totalsRowDxfId="412"/>
    <tableColumn id="15" xr3:uid="{DB82A331-2A4E-4794-85EF-0CF1B9A50893}" name="Platintojas _x000a_(Distributor)" totalsRowLabel=" " dataDxfId="411" totalsRowDxfId="410"/>
  </tableColumns>
  <tableStyleInfo name="TableStyleLight18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38B9DD5-6447-4C49-A2A3-C783A0D68E4C}" name="Table13245678910111213" displayName="Table13245678910111213" ref="A2:O33" totalsRowCount="1" headerRowDxfId="409" dataDxfId="407" totalsRowDxfId="406" headerRowBorderDxfId="408">
  <sortState xmlns:xlrd2="http://schemas.microsoft.com/office/spreadsheetml/2017/richdata2" ref="A3:O32">
    <sortCondition descending="1" ref="D3:D32"/>
  </sortState>
  <tableColumns count="15">
    <tableColumn id="1" xr3:uid="{2476D73C-39C1-4858-BE15-9538B8BC015C}" name="#" dataDxfId="405" totalsRowDxfId="404"/>
    <tableColumn id="2" xr3:uid="{1666A7C5-B896-49FF-8216-FDD9F4E6C9E7}" name="#_x000a_LW" totalsRowLabel=" " dataDxfId="403" totalsRowDxfId="402"/>
    <tableColumn id="3" xr3:uid="{18F33F2F-7367-4761-9E0D-A55391A21D1C}" name="Filmas _x000a_(Movie)" totalsRowLabel="Total (30)" dataDxfId="401" totalsRowDxfId="400"/>
    <tableColumn id="4" xr3:uid="{57D16090-DC90-45A1-BF08-360330DC5F42}" name="Pajamos _x000a_(GBO)" totalsRowFunction="sum" dataDxfId="399" totalsRowDxfId="398"/>
    <tableColumn id="5" xr3:uid="{0096575A-D330-49A8-B8D1-1F2E55B23594}" name="Pajamos _x000a_praeita sav._x000a_(GBO LW)" totalsRowLabel="438 830 €" dataDxfId="397" totalsRowDxfId="396"/>
    <tableColumn id="6" xr3:uid="{71CF2C8E-1599-4C34-9329-F526B442002D}" name="Pakitimas_x000a_(Change)" totalsRowFunction="custom" dataDxfId="395" totalsRowDxfId="394">
      <calculatedColumnFormula>(D3-E3)/E3</calculatedColumnFormula>
      <totalsRowFormula>(D33-E33)/E33</totalsRowFormula>
    </tableColumn>
    <tableColumn id="7" xr3:uid="{70B73135-B13C-4700-BF7D-D9DD7C16A500}" name="Žiūrovų sk. _x000a_(ADM)" totalsRowFunction="sum" dataDxfId="393" totalsRowDxfId="392"/>
    <tableColumn id="8" xr3:uid="{D5913238-EA1E-4DF9-B5E8-A1D4FE3EC760}" name="Seansų sk. _x000a_(Show count)" dataDxfId="391" totalsRowDxfId="390"/>
    <tableColumn id="9" xr3:uid="{3FE918FA-DA5A-41F4-A72B-B0EBE3C33592}" name="Lankomumo vid._x000a_(Average ADM)" dataDxfId="389" totalsRowDxfId="388">
      <calculatedColumnFormula>G3/H3</calculatedColumnFormula>
    </tableColumn>
    <tableColumn id="10" xr3:uid="{D74EBCFE-66EE-4E26-8F4C-01C465440F89}" name="Kopijų sk. _x000a_(DCO count)" dataDxfId="387" totalsRowDxfId="386"/>
    <tableColumn id="11" xr3:uid="{EE08A27E-D253-4919-94C9-24C536736F58}" name="Rodymo savaitė_x000a_(Week on screen)" dataDxfId="385" totalsRowDxfId="384"/>
    <tableColumn id="12" xr3:uid="{FBBF9560-2327-4D55-A26A-5F15B9317969}" name="Bendros pajamos _x000a_(Total GBO)" dataDxfId="383" totalsRowDxfId="382"/>
    <tableColumn id="13" xr3:uid="{47E3122C-7495-44DD-A37B-257B3C9BA490}" name="Bendras žiūrovų sk._x000a_(Total ADM)" dataDxfId="381" totalsRowDxfId="380"/>
    <tableColumn id="14" xr3:uid="{B0FD3117-9F30-40ED-B9EB-67B755DFD046}" name="Premjeros data _x000a_(Release date)" dataDxfId="379" totalsRowDxfId="378"/>
    <tableColumn id="15" xr3:uid="{E7625413-15FE-4FBC-9B08-1520EE4184A7}" name="Platintojas _x000a_(Distributor)" totalsRowLabel=" " dataDxfId="377" totalsRowDxfId="376"/>
  </tableColumns>
  <tableStyleInfo name="TableStyleLight18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459BCA4-7EDA-448F-9075-F307E4FB2A3B}" name="Table132456789101112" displayName="Table132456789101112" ref="A2:O40" totalsRowCount="1" headerRowDxfId="375" dataDxfId="373" totalsRowDxfId="372" headerRowBorderDxfId="374">
  <sortState xmlns:xlrd2="http://schemas.microsoft.com/office/spreadsheetml/2017/richdata2" ref="A3:O39">
    <sortCondition descending="1" ref="D3:D39"/>
  </sortState>
  <tableColumns count="15">
    <tableColumn id="1" xr3:uid="{8B3D98F3-EDDB-4A2A-AC68-41BC64E4845A}" name="#" dataDxfId="371" totalsRowDxfId="370"/>
    <tableColumn id="2" xr3:uid="{391E53E3-C116-4F20-BA61-92F78FDE8029}" name="#_x000a_LW" totalsRowLabel=" " dataDxfId="369" totalsRowDxfId="368"/>
    <tableColumn id="3" xr3:uid="{0EF21B36-1E38-46A6-AD8E-942473ABD866}" name="Filmas _x000a_(Movie)" totalsRowLabel="Total (37)" dataDxfId="367" totalsRowDxfId="366"/>
    <tableColumn id="4" xr3:uid="{DF7A334E-A874-43F6-88C0-3DB1EDAEFB3C}" name="Pajamos _x000a_(GBO)" totalsRowFunction="sum" dataDxfId="365" totalsRowDxfId="364"/>
    <tableColumn id="5" xr3:uid="{04EECB2E-D193-47C9-9664-D2ED55F6E53E}" name="Pajamos _x000a_praeita sav._x000a_(GBO LW)" totalsRowFunction="custom" dataDxfId="363" totalsRowDxfId="362">
      <totalsRowFormula>SUBTOTAL(109,Table1324567891011[Pajamos 
(GBO)])</totalsRowFormula>
    </tableColumn>
    <tableColumn id="6" xr3:uid="{D9360F8D-C76F-43BC-969F-C58FADB607BF}" name="Pakitimas_x000a_(Change)" totalsRowFunction="custom" dataDxfId="361" totalsRowDxfId="360">
      <calculatedColumnFormula>(D3-E3)/E3</calculatedColumnFormula>
      <totalsRowFormula>(D40-E40)/E40</totalsRowFormula>
    </tableColumn>
    <tableColumn id="7" xr3:uid="{7AC7DF74-C7B6-4641-824D-D9BCD5B7F302}" name="Žiūrovų sk. _x000a_(ADM)" totalsRowFunction="sum" dataDxfId="359" totalsRowDxfId="358"/>
    <tableColumn id="8" xr3:uid="{3FF82E2B-8658-4766-A319-8CCA18784E6B}" name="Seansų sk. _x000a_(Show count)" dataDxfId="357" totalsRowDxfId="356"/>
    <tableColumn id="9" xr3:uid="{A122C9C0-EA11-4E1C-9E9B-DACC5C86456E}" name="Lankomumo vid._x000a_(Average ADM)" dataDxfId="355" totalsRowDxfId="354">
      <calculatedColumnFormula>G3/H3</calculatedColumnFormula>
    </tableColumn>
    <tableColumn id="10" xr3:uid="{3EF7BCF3-98A5-4BD4-B8D4-7206AA0F0E55}" name="Kopijų sk. _x000a_(DCO count)" dataDxfId="353" totalsRowDxfId="352"/>
    <tableColumn id="11" xr3:uid="{AC581694-9309-4A2B-B7F4-7F213313FEEB}" name="Rodymo savaitė_x000a_(Week on screen)" dataDxfId="351" totalsRowDxfId="350"/>
    <tableColumn id="12" xr3:uid="{0623DB68-8C32-4B55-93CE-DC5E5D479546}" name="Bendros pajamos _x000a_(Total GBO)" dataDxfId="349" totalsRowDxfId="348"/>
    <tableColumn id="13" xr3:uid="{B951EBC4-FD27-4C4F-B5C2-24E937435A8E}" name="Bendras žiūrovų sk._x000a_(Total ADM)" dataDxfId="347" totalsRowDxfId="346"/>
    <tableColumn id="14" xr3:uid="{3CAC0817-6F47-4158-BC69-07A07FAB5A6C}" name="Premjeros data _x000a_(Release date)" dataDxfId="345" totalsRowDxfId="344"/>
    <tableColumn id="15" xr3:uid="{872499A5-6FF6-4E72-93C5-8D8D51705743}" name="Platintojas _x000a_(Distributor)" totalsRowLabel=" " dataDxfId="343" totalsRowDxfId="342"/>
  </tableColumns>
  <tableStyleInfo name="TableStyleLight18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9723227-B6BB-4D11-A35E-0101C3B9676A}" name="Table1324567891011" displayName="Table1324567891011" ref="A2:O38" totalsRowCount="1" headerRowDxfId="341" dataDxfId="339" totalsRowDxfId="338" headerRowBorderDxfId="340">
  <sortState xmlns:xlrd2="http://schemas.microsoft.com/office/spreadsheetml/2017/richdata2" ref="A3:O37">
    <sortCondition descending="1" ref="D3:D37"/>
  </sortState>
  <tableColumns count="15">
    <tableColumn id="1" xr3:uid="{CB75D3F5-1CD0-418E-9A5B-BF75DE81A134}" name="#" dataDxfId="337" totalsRowDxfId="336"/>
    <tableColumn id="2" xr3:uid="{D81A475C-6E1A-4CC5-95C5-8A7715F53525}" name="#_x000a_LW" totalsRowLabel=" " dataDxfId="335" totalsRowDxfId="334"/>
    <tableColumn id="3" xr3:uid="{CBF3724D-3D48-4A1B-86BA-655ACCFC0B93}" name="Filmas _x000a_(Movie)" totalsRowLabel="Total (35)" dataDxfId="333" totalsRowDxfId="332"/>
    <tableColumn id="4" xr3:uid="{693A8A79-EBA9-4B8F-B2E4-CCE446032BB7}" name="Pajamos _x000a_(GBO)" totalsRowFunction="sum" dataDxfId="331" totalsRowDxfId="330"/>
    <tableColumn id="5" xr3:uid="{6986E924-7DAD-4D3D-9855-0097B4AB3EA3}" name="Pajamos _x000a_praeita sav._x000a_(GBO LW)" totalsRowLabel="436 983 €" dataDxfId="329" totalsRowDxfId="328"/>
    <tableColumn id="6" xr3:uid="{51550285-A5F2-4BEB-A7CB-11F0A178A3DF}" name="Pakitimas_x000a_(Change)" totalsRowFunction="custom" dataDxfId="327" totalsRowDxfId="326">
      <calculatedColumnFormula>(D3-E3)/E3</calculatedColumnFormula>
      <totalsRowFormula>(D38-E38)/E38</totalsRowFormula>
    </tableColumn>
    <tableColumn id="7" xr3:uid="{3CA0BB5F-FC1D-431D-9E97-77C27F796E29}" name="Žiūrovų sk. _x000a_(ADM)" totalsRowFunction="sum" dataDxfId="325" totalsRowDxfId="324"/>
    <tableColumn id="8" xr3:uid="{E1E02BC8-5379-4FA9-9ABE-41BFE39D97E2}" name="Seansų sk. _x000a_(Show count)" dataDxfId="323" totalsRowDxfId="322"/>
    <tableColumn id="9" xr3:uid="{1DF6DA76-F0D4-4BDF-AAAC-81FAF84CE776}" name="Lankomumo vid._x000a_(Average ADM)" dataDxfId="321" totalsRowDxfId="320">
      <calculatedColumnFormula>G3/H3</calculatedColumnFormula>
    </tableColumn>
    <tableColumn id="10" xr3:uid="{FBDDC412-1A00-4901-89C8-77EA56BFC03E}" name="Kopijų sk. _x000a_(DCO count)" dataDxfId="319" totalsRowDxfId="318"/>
    <tableColumn id="11" xr3:uid="{E135FB4B-B7DD-4806-97D4-4F4BADEADAEA}" name="Rodymo savaitė_x000a_(Week on screen)" dataDxfId="317" totalsRowDxfId="316"/>
    <tableColumn id="12" xr3:uid="{681BA0AC-1855-4D64-BC36-E41B38E85EE1}" name="Bendros pajamos _x000a_(Total GBO)" dataDxfId="315" totalsRowDxfId="314"/>
    <tableColumn id="13" xr3:uid="{2C45267F-BBDB-48CF-9DC2-6CC9D0FE8B9D}" name="Bendras žiūrovų sk._x000a_(Total ADM)" dataDxfId="313" totalsRowDxfId="312"/>
    <tableColumn id="14" xr3:uid="{52D2F4BA-3250-44E4-9292-6CCDAFA08104}" name="Premjeros data _x000a_(Release date)" dataDxfId="311" totalsRowDxfId="310"/>
    <tableColumn id="15" xr3:uid="{E2DB82CA-1F26-4047-81C3-E4626EF3076F}" name="Platintojas _x000a_(Distributor)" totalsRowLabel=" " dataDxfId="309" totalsRowDxfId="308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460BCF6D-332B-4B6C-A33F-4BE519BA94CB}" name="Table13245678910111213141517161828192021222324252627" displayName="Table13245678910111213141517161828192021222324252627" ref="A2:O40" totalsRowCount="1" headerRowDxfId="919" dataDxfId="917" totalsRowDxfId="916" headerRowBorderDxfId="918">
  <sortState xmlns:xlrd2="http://schemas.microsoft.com/office/spreadsheetml/2017/richdata2" ref="A3:O39">
    <sortCondition descending="1" ref="D3:D39"/>
  </sortState>
  <tableColumns count="15">
    <tableColumn id="1" xr3:uid="{4620890E-5E97-4FA2-9700-4516DDA87CEA}" name="#" dataDxfId="915" totalsRowDxfId="914"/>
    <tableColumn id="2" xr3:uid="{55067AA7-CA17-4409-A6E1-ECDD6E8D8336}" name="#_x000a_LW" totalsRowLabel=" " dataDxfId="913" totalsRowDxfId="912"/>
    <tableColumn id="3" xr3:uid="{B71535FA-92E2-4A4D-9910-3AFEE138F3FD}" name="Filmas _x000a_(Movie)" totalsRowLabel="Total (37)" dataDxfId="911" totalsRowDxfId="910"/>
    <tableColumn id="4" xr3:uid="{EC4C3838-48A3-4F2B-B365-483A7F867089}" name="Pajamos _x000a_(GBO)" totalsRowFunction="sum" dataDxfId="909" totalsRowDxfId="908"/>
    <tableColumn id="5" xr3:uid="{47EBB7CA-508F-457B-9DAA-26C18F7AC673}" name="Pajamos _x000a_praeita sav._x000a_(GBO LW)" totalsRowLabel="550 374 €" dataDxfId="907" totalsRowDxfId="906" dataCellStyle="Normal 2 4"/>
    <tableColumn id="6" xr3:uid="{6EDCE674-3C7E-400F-8912-9BFEE3876EB6}" name="Pakitimas_x000a_(Change)" totalsRowFunction="custom" dataDxfId="905" totalsRowDxfId="904">
      <calculatedColumnFormula>(D3-E3)/E3</calculatedColumnFormula>
      <totalsRowFormula>(D40-E40)/E40</totalsRowFormula>
    </tableColumn>
    <tableColumn id="7" xr3:uid="{C8774587-3C4C-45EE-A5A9-067C8BDD9FE1}" name="Žiūrovų sk. _x000a_(ADM)" totalsRowFunction="sum" dataDxfId="903" totalsRowDxfId="902"/>
    <tableColumn id="8" xr3:uid="{0FAB90DF-A8C0-48AE-ADBE-7950536F3CC2}" name="Seansų sk. _x000a_(Show count)" dataDxfId="901" totalsRowDxfId="900"/>
    <tableColumn id="9" xr3:uid="{82DB2E0B-4D91-4649-8BCD-3872695A9E70}" name="Lankomumo vid._x000a_(Average ADM)" dataDxfId="899" totalsRowDxfId="898">
      <calculatedColumnFormula>G3/H3</calculatedColumnFormula>
    </tableColumn>
    <tableColumn id="10" xr3:uid="{70729033-6A72-467E-B6E8-A44DBE1CDDAA}" name="Kopijų sk. _x000a_(DCO count)" dataDxfId="897" totalsRowDxfId="896"/>
    <tableColumn id="11" xr3:uid="{B0797C97-4CBE-464E-BACD-96A5F3851AA1}" name="Rodymo savaitė_x000a_(Week on screen)" dataDxfId="895" totalsRowDxfId="894"/>
    <tableColumn id="12" xr3:uid="{4BEA0402-1BAB-4F0B-82E3-525C6870EA53}" name="Bendros pajamos _x000a_(Total GBO)" dataDxfId="893" totalsRowDxfId="892"/>
    <tableColumn id="13" xr3:uid="{AF8A626D-722C-44F7-BDBC-C15453564AB3}" name="Bendras žiūrovų sk._x000a_(Total ADM)" dataDxfId="891" totalsRowDxfId="890"/>
    <tableColumn id="14" xr3:uid="{2C2D81E3-8443-4ADA-807A-CE840E03EA78}" name="Premjeros data _x000a_(Release date)" dataDxfId="889" totalsRowDxfId="888"/>
    <tableColumn id="15" xr3:uid="{68FF6B45-C74B-4EE2-B716-A5A19F5516EF}" name="Platintojas _x000a_(Distributor)" totalsRowLabel=" " dataDxfId="887" totalsRowDxfId="886"/>
  </tableColumns>
  <tableStyleInfo name="TableStyleLight18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88AB52D-3523-42BF-BF84-EAAA57AB497F}" name="Table13245678910" displayName="Table13245678910" ref="A2:O39" totalsRowCount="1" headerRowDxfId="307" dataDxfId="305" totalsRowDxfId="304" headerRowBorderDxfId="306">
  <sortState xmlns:xlrd2="http://schemas.microsoft.com/office/spreadsheetml/2017/richdata2" ref="A3:O38">
    <sortCondition descending="1" ref="D3:D38"/>
  </sortState>
  <tableColumns count="15">
    <tableColumn id="1" xr3:uid="{04B6BED2-454E-4E65-97BE-3E81BE645F60}" name="#" dataDxfId="303" totalsRowDxfId="302"/>
    <tableColumn id="2" xr3:uid="{1EE3A9CF-CC8B-42F6-A25D-6E918EDC8248}" name="#_x000a_LW" totalsRowLabel=" " dataDxfId="301" totalsRowDxfId="300"/>
    <tableColumn id="3" xr3:uid="{EB412BC6-2943-4F72-BC5A-C1B9CD3D404D}" name="Filmas _x000a_(Movie)" totalsRowLabel="Total (36)" dataDxfId="299" totalsRowDxfId="298"/>
    <tableColumn id="4" xr3:uid="{3992A40C-B53E-4966-B61B-E302C5AD0F38}" name="Pajamos _x000a_(GBO)" totalsRowFunction="sum" dataDxfId="297" totalsRowDxfId="296"/>
    <tableColumn id="5" xr3:uid="{C71F856A-AAC4-4FE1-99C9-D5673D8727B3}" name="Pajamos _x000a_praeita sav._x000a_(GBO LW)" totalsRowLabel="423 300 €" dataDxfId="295" totalsRowDxfId="294"/>
    <tableColumn id="6" xr3:uid="{D3DA4DFB-5D0B-4469-A12E-02CEFCF6E7AD}" name="Pakitimas_x000a_(Change)" totalsRowFunction="custom" dataDxfId="293" totalsRowDxfId="292">
      <calculatedColumnFormula>(D3-E3)/E3</calculatedColumnFormula>
      <totalsRowFormula>(D39-E39)/E39</totalsRowFormula>
    </tableColumn>
    <tableColumn id="7" xr3:uid="{7D5F15D0-FAA6-4E8A-BD2A-8C8101EDDADB}" name="Žiūrovų sk. _x000a_(ADM)" totalsRowFunction="sum" dataDxfId="291" totalsRowDxfId="290"/>
    <tableColumn id="8" xr3:uid="{3205D719-3408-4BEE-B7BE-8DCC9273DA33}" name="Seansų sk. _x000a_(Show count)" dataDxfId="289" totalsRowDxfId="288"/>
    <tableColumn id="9" xr3:uid="{B04F683C-78B7-4196-9FB8-2D9A1B73CC62}" name="Lankomumo vid._x000a_(Average ADM)" dataDxfId="287" totalsRowDxfId="286">
      <calculatedColumnFormula>G3/H3</calculatedColumnFormula>
    </tableColumn>
    <tableColumn id="10" xr3:uid="{28C1CF41-26FD-4213-8970-81F2364647F4}" name="Kopijų sk. _x000a_(DCO count)" dataDxfId="285" totalsRowDxfId="284"/>
    <tableColumn id="11" xr3:uid="{8DA29365-BB58-44A1-AA54-8A4D7E92148A}" name="Rodymo savaitė_x000a_(Week on screen)" dataDxfId="283" totalsRowDxfId="282"/>
    <tableColumn id="12" xr3:uid="{6BD1D608-1176-4F20-BD88-CB497A29C9F6}" name="Bendros pajamos _x000a_(Total GBO)" dataDxfId="281" totalsRowDxfId="280"/>
    <tableColumn id="13" xr3:uid="{1DC00D84-252F-4DCA-A7EA-82DE71D044ED}" name="Bendras žiūrovų sk._x000a_(Total ADM)" dataDxfId="279" totalsRowDxfId="278"/>
    <tableColumn id="14" xr3:uid="{14BB7608-6348-4A00-ABF6-6928B72F96BC}" name="Premjeros data _x000a_(Release date)" dataDxfId="277" totalsRowDxfId="276"/>
    <tableColumn id="15" xr3:uid="{EA1126C3-B1E2-4904-857A-BAFCF5AF79F6}" name="Platintojas _x000a_(Distributor)" totalsRowLabel=" " dataDxfId="275" totalsRowDxfId="274"/>
  </tableColumns>
  <tableStyleInfo name="TableStyleLight18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B268153-9E2E-4552-BC65-8AF801576372}" name="Table132456789" displayName="Table132456789" ref="A2:O31" totalsRowCount="1" headerRowDxfId="273" dataDxfId="271" totalsRowDxfId="270" headerRowBorderDxfId="272">
  <sortState xmlns:xlrd2="http://schemas.microsoft.com/office/spreadsheetml/2017/richdata2" ref="A3:O30">
    <sortCondition descending="1" ref="D3:D30"/>
  </sortState>
  <tableColumns count="15">
    <tableColumn id="1" xr3:uid="{4DAF02EF-9B90-4B07-8ED4-B8C4178FF1BF}" name="#" dataDxfId="269" totalsRowDxfId="268"/>
    <tableColumn id="2" xr3:uid="{B7CE7ADF-84CC-4A51-B4EA-D0B89A6820E2}" name="#_x000a_LW" totalsRowLabel=" " dataDxfId="267" totalsRowDxfId="266"/>
    <tableColumn id="3" xr3:uid="{F2054839-B83C-421D-BDC3-035138FB32BF}" name="Filmas _x000a_(Movie)" totalsRowLabel="Total (28)" dataDxfId="265" totalsRowDxfId="264"/>
    <tableColumn id="4" xr3:uid="{3E0C33AC-1AD5-4753-BE5B-F4310A08849E}" name="Pajamos _x000a_(GBO)" totalsRowFunction="custom" dataDxfId="263" totalsRowDxfId="262">
      <totalsRowFormula>SUM(Table132456789[Pajamos 
(GBO)])</totalsRowFormula>
    </tableColumn>
    <tableColumn id="5" xr3:uid="{B26A6D52-74B3-4B35-95F0-D5968F3A897A}" name="Pajamos _x000a_praeita sav._x000a_(GBO LW)" totalsRowLabel="498 567 €" dataDxfId="261" totalsRowDxfId="260"/>
    <tableColumn id="6" xr3:uid="{B1B248AD-2A56-4D8D-A980-EB0CC0CC3329}" name="Pakitimas_x000a_(Change)" totalsRowFunction="custom" dataDxfId="259" totalsRowDxfId="258">
      <calculatedColumnFormula>(D3-E3)/E3</calculatedColumnFormula>
      <totalsRowFormula>(D31-E31)/E31</totalsRowFormula>
    </tableColumn>
    <tableColumn id="7" xr3:uid="{00893FDF-DFFF-495F-AC90-59C9D6A572D9}" name="Žiūrovų sk. _x000a_(ADM)" totalsRowFunction="custom" dataDxfId="257" totalsRowDxfId="256">
      <totalsRowFormula>SUM(Table132456789[Žiūrovų sk. 
(ADM)])</totalsRowFormula>
    </tableColumn>
    <tableColumn id="8" xr3:uid="{98F554BF-D792-4170-B689-BBD52FB90888}" name="Seansų sk. _x000a_(Show count)" dataDxfId="255" totalsRowDxfId="254"/>
    <tableColumn id="9" xr3:uid="{3E4130C1-8A08-4D7D-A6E2-468D12E55FA2}" name="Lankomumo vid._x000a_(Average ADM)" dataDxfId="253" totalsRowDxfId="252">
      <calculatedColumnFormula>G3/H3</calculatedColumnFormula>
    </tableColumn>
    <tableColumn id="10" xr3:uid="{186776C0-137D-47FE-80B6-9A244A0224B8}" name="Kopijų sk. _x000a_(DCO count)" dataDxfId="251" totalsRowDxfId="250"/>
    <tableColumn id="11" xr3:uid="{36DB1FF3-9238-4FEB-809A-04D887184488}" name="Rodymo savaitė_x000a_(Week on screen)" dataDxfId="249" totalsRowDxfId="248"/>
    <tableColumn id="12" xr3:uid="{4B1260EF-DA15-4F8F-8CA1-9B69189258FC}" name="Bendros pajamos _x000a_(Total GBO)" dataDxfId="247" totalsRowDxfId="246"/>
    <tableColumn id="13" xr3:uid="{8F9FEB28-9C8E-4282-A4C3-EBFE55DDD782}" name="Bendras žiūrovų sk._x000a_(Total ADM)" dataDxfId="245" totalsRowDxfId="244"/>
    <tableColumn id="14" xr3:uid="{4EEFF08F-9BA2-4264-9949-DE06E38BCA35}" name="Premjeros data _x000a_(Release date)" dataDxfId="243" totalsRowDxfId="242"/>
    <tableColumn id="15" xr3:uid="{A4214E49-1761-497F-BB12-25DD65F126CA}" name="Platintojas _x000a_(Distributor)" totalsRowLabel=" " dataDxfId="241" totalsRowDxfId="240"/>
  </tableColumns>
  <tableStyleInfo name="TableStyleLight18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65189D1-34F4-45FD-A4B4-CA2835DA378E}" name="Table13245678" displayName="Table13245678" ref="A2:O30" totalsRowCount="1" headerRowDxfId="239" dataDxfId="237" totalsRowDxfId="236" headerRowBorderDxfId="238">
  <sortState xmlns:xlrd2="http://schemas.microsoft.com/office/spreadsheetml/2017/richdata2" ref="A3:O29">
    <sortCondition descending="1" ref="D3:D29"/>
  </sortState>
  <tableColumns count="15">
    <tableColumn id="1" xr3:uid="{AD769D0A-FA60-4897-BE1F-5F7E39DB4F78}" name="#" dataDxfId="235" totalsRowDxfId="234"/>
    <tableColumn id="2" xr3:uid="{0DEA95E3-9BE7-4192-AAD1-3C90B849D70D}" name="#_x000a_LW" totalsRowLabel=" " dataDxfId="233" totalsRowDxfId="232"/>
    <tableColumn id="3" xr3:uid="{46BC61AD-4F0E-4AC7-BECE-F282D90F1749}" name="Filmas _x000a_(Movie)" totalsRowLabel="Total (27)" dataDxfId="231" totalsRowDxfId="230"/>
    <tableColumn id="4" xr3:uid="{D898994A-3E30-4699-8796-47A35478A80F}" name="Pajamos _x000a_(GBO)" totalsRowFunction="custom" dataDxfId="229" totalsRowDxfId="228">
      <totalsRowFormula>SUM(Table13245678[Pajamos 
(GBO)])</totalsRowFormula>
    </tableColumn>
    <tableColumn id="5" xr3:uid="{DBF7BAE1-06C0-4603-9D4B-27C1F0549BA8}" name="Pajamos _x000a_praeita sav._x000a_(GBO LW)" totalsRowLabel="361 495 €" dataDxfId="227" totalsRowDxfId="226"/>
    <tableColumn id="6" xr3:uid="{A5EC53AE-84CE-4D41-8DB5-FF37FB282F70}" name="Pakitimas_x000a_(Change)" totalsRowFunction="custom" dataDxfId="225" totalsRowDxfId="224">
      <calculatedColumnFormula>(D3-E3)/E3</calculatedColumnFormula>
      <totalsRowFormula>(D30-E30)/E30</totalsRowFormula>
    </tableColumn>
    <tableColumn id="7" xr3:uid="{B9A04E94-CDD6-4001-A2EF-BA47975E95C4}" name="Žiūrovų sk. _x000a_(ADM)" totalsRowFunction="custom" dataDxfId="223" totalsRowDxfId="222">
      <totalsRowFormula>SUM(Table13245678[Žiūrovų sk. 
(ADM)])</totalsRowFormula>
    </tableColumn>
    <tableColumn id="8" xr3:uid="{B0B369B7-B7F6-43BF-A275-CC74336B7C7F}" name="Seansų sk. _x000a_(Show count)" dataDxfId="221" totalsRowDxfId="220"/>
    <tableColumn id="9" xr3:uid="{031D5945-EFCD-451F-967C-E2C1C8DDB5B1}" name="Lankomumo vid._x000a_(Average ADM)" dataDxfId="219" totalsRowDxfId="218">
      <calculatedColumnFormula>G3/H3</calculatedColumnFormula>
    </tableColumn>
    <tableColumn id="10" xr3:uid="{9D995014-646F-4C44-BDA9-ABAB85F218A5}" name="Kopijų sk. _x000a_(DCO count)" dataDxfId="217" totalsRowDxfId="216"/>
    <tableColumn id="11" xr3:uid="{37734F83-0523-4136-984E-7AD432235607}" name="Rodymo savaitė_x000a_(Week on screen)" dataDxfId="215" totalsRowDxfId="214"/>
    <tableColumn id="12" xr3:uid="{A88F3D51-9969-42AE-88DB-2606A6F86B7E}" name="Bendros pajamos _x000a_(Total GBO)" dataDxfId="213" totalsRowDxfId="212"/>
    <tableColumn id="13" xr3:uid="{7C81609C-E38E-493C-9F80-78A729775AD7}" name="Bendras žiūrovų sk._x000a_(Total ADM)" dataDxfId="211" totalsRowDxfId="210"/>
    <tableColumn id="14" xr3:uid="{CEDEBA73-4A67-4690-8631-4EFB70EA1EC4}" name="Premjeros data _x000a_(Release date)" dataDxfId="209" totalsRowDxfId="208"/>
    <tableColumn id="15" xr3:uid="{B7ABFA3A-27BD-4081-BA9E-27CC75A18350}" name="Platintojas _x000a_(Distributor)" totalsRowLabel=" " dataDxfId="207" totalsRowDxfId="206"/>
  </tableColumns>
  <tableStyleInfo name="TableStyleLight18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DA4B207-110C-40F7-8ACB-4068B0D2889C}" name="Table1324567" displayName="Table1324567" ref="A2:O32" totalsRowCount="1" headerRowDxfId="205" dataDxfId="203" totalsRowDxfId="202" headerRowBorderDxfId="204">
  <sortState xmlns:xlrd2="http://schemas.microsoft.com/office/spreadsheetml/2017/richdata2" ref="A3:O31">
    <sortCondition descending="1" ref="D3:D31"/>
  </sortState>
  <tableColumns count="15">
    <tableColumn id="1" xr3:uid="{823C269D-FA13-43BB-ABA2-1486B69474A3}" name="#" totalsRowLabel=" " dataDxfId="201" totalsRowDxfId="200"/>
    <tableColumn id="2" xr3:uid="{2C94C949-1A82-4E47-B08F-DD61445C20FB}" name="#_x000a_LW" totalsRowLabel=" " dataDxfId="199" totalsRowDxfId="198"/>
    <tableColumn id="3" xr3:uid="{EB367BF3-5B66-47FC-BE8D-8BCC8F741EFB}" name="Filmas _x000a_(Movie)" totalsRowLabel="Total (29)" dataDxfId="197" totalsRowDxfId="196"/>
    <tableColumn id="4" xr3:uid="{A99EA556-4802-47A8-BDCD-AD821C4D50E6}" name="Pajamos _x000a_(GBO)" totalsRowFunction="custom" dataDxfId="195" totalsRowDxfId="194">
      <totalsRowFormula>SUM(Table1324567[Pajamos 
(GBO)])</totalsRowFormula>
    </tableColumn>
    <tableColumn id="5" xr3:uid="{896383BA-50B0-4769-8104-F60A3B09F78B}" name="Pajamos _x000a_praeita sav._x000a_(GBO LW)" totalsRowLabel="450 444 €" dataDxfId="193" totalsRowDxfId="192"/>
    <tableColumn id="6" xr3:uid="{B3FE7C3E-B05D-4EEC-B5F8-B80ECB99D54E}" name="Pakitimas_x000a_(Change)" totalsRowFunction="custom" dataDxfId="191" totalsRowDxfId="190">
      <calculatedColumnFormula>(D3-E3)/E3</calculatedColumnFormula>
      <totalsRowFormula>(D32-E32)/E32</totalsRowFormula>
    </tableColumn>
    <tableColumn id="7" xr3:uid="{F4010804-B115-47DA-A7AC-64B926993BD3}" name="Žiūrovų sk. _x000a_(ADM)" totalsRowFunction="custom" dataDxfId="189" totalsRowDxfId="188">
      <totalsRowFormula>SUM(Table1324567[Žiūrovų sk. 
(ADM)])</totalsRowFormula>
    </tableColumn>
    <tableColumn id="8" xr3:uid="{D91F8A43-0BBF-47F1-8A14-9729F3229D1B}" name="Seansų sk. _x000a_(Show count)" dataDxfId="187" totalsRowDxfId="186"/>
    <tableColumn id="9" xr3:uid="{52284C55-ED91-439D-8BFF-46F89A5A0A82}" name="Lankomumo vid._x000a_(Average ADM)" dataDxfId="185" totalsRowDxfId="184">
      <calculatedColumnFormula>G3/H3</calculatedColumnFormula>
    </tableColumn>
    <tableColumn id="10" xr3:uid="{75371280-52C0-4A3A-905A-981561460979}" name="Kopijų sk. _x000a_(DCO count)" dataDxfId="183" totalsRowDxfId="182"/>
    <tableColumn id="11" xr3:uid="{2653329A-8CAB-42B5-B92B-A82EE27D97DA}" name="Rodymo savaitė_x000a_(Week on screen)" dataDxfId="181" totalsRowDxfId="180"/>
    <tableColumn id="12" xr3:uid="{2B0CE343-A352-40F5-9C7B-159F15DA3CF9}" name="Bendros pajamos _x000a_(Total GBO)" dataDxfId="179" totalsRowDxfId="178"/>
    <tableColumn id="13" xr3:uid="{4BB51F50-48F2-49C5-9002-7634E3859145}" name="Bendras žiūrovų sk._x000a_(Total ADM)" dataDxfId="177" totalsRowDxfId="176"/>
    <tableColumn id="14" xr3:uid="{CAA96BC5-4A0F-4219-95F2-24B273A5BA4C}" name="Premjeros data _x000a_(Release date)" dataDxfId="175" totalsRowDxfId="174"/>
    <tableColumn id="15" xr3:uid="{7E58168E-00FD-44EC-A02A-8B0CF683888D}" name="Platintojas _x000a_(Distributor)" totalsRowLabel=" " dataDxfId="173" totalsRowDxfId="172"/>
  </tableColumns>
  <tableStyleInfo name="TableStyleLight18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C812A1A-AAF5-4299-9FC0-B4C348D11C10}" name="Table132456" displayName="Table132456" ref="A2:O41" totalsRowCount="1" headerRowDxfId="171" dataDxfId="169" totalsRowDxfId="168" headerRowBorderDxfId="170">
  <sortState xmlns:xlrd2="http://schemas.microsoft.com/office/spreadsheetml/2017/richdata2" ref="A3:O40">
    <sortCondition descending="1" ref="D3:D40"/>
  </sortState>
  <tableColumns count="15">
    <tableColumn id="1" xr3:uid="{CADC29DF-00EE-48BB-AC18-68A53A6FAB4A}" name="#" totalsRowLabel=" " dataDxfId="167" totalsRowDxfId="166"/>
    <tableColumn id="2" xr3:uid="{B3D186EE-C187-44B0-BC7F-3677321D2DB5}" name="#_x000a_LW" totalsRowLabel=" " dataDxfId="165" totalsRowDxfId="164"/>
    <tableColumn id="3" xr3:uid="{86B28D81-1FEB-4652-B6AA-7E3BCD0B3DD9}" name="Filmas _x000a_(Movie)" totalsRowLabel="Total (38)" dataDxfId="163" totalsRowDxfId="162"/>
    <tableColumn id="4" xr3:uid="{A678BF0D-E96A-4D0B-A25A-5A44729596A6}" name="Pajamos _x000a_(GBO)" totalsRowFunction="sum" dataDxfId="161" totalsRowDxfId="160"/>
    <tableColumn id="5" xr3:uid="{2B1ECEF6-A8A5-44C1-ABFD-D8C65C4C8F27}" name="Pajamos _x000a_praeita sav._x000a_(GBO LW)" totalsRowLabel="559 682 €" dataDxfId="159" totalsRowDxfId="158"/>
    <tableColumn id="6" xr3:uid="{79D2D939-B392-4CFB-B379-43DDC757166B}" name="Pakitimas_x000a_(Change)" totalsRowFunction="custom" dataDxfId="157" totalsRowDxfId="156">
      <calculatedColumnFormula>(D3-E3)/E3</calculatedColumnFormula>
      <totalsRowFormula>(D41-E41)/E41</totalsRowFormula>
    </tableColumn>
    <tableColumn id="7" xr3:uid="{159ECA87-B657-41A9-80BD-6F714DB50292}" name="Žiūrovų sk. _x000a_(ADM)" totalsRowFunction="sum" dataDxfId="155" totalsRowDxfId="154"/>
    <tableColumn id="8" xr3:uid="{B3BD92A3-4838-4B45-8577-D13A7D86BDC0}" name="Seansų sk. _x000a_(Show count)" dataDxfId="153" totalsRowDxfId="152"/>
    <tableColumn id="9" xr3:uid="{08D42EC5-D301-41A4-9AD1-4110BB500456}" name="Lankomumo vid._x000a_(Average ADM)" dataDxfId="151" totalsRowDxfId="150">
      <calculatedColumnFormula>G3/H3</calculatedColumnFormula>
    </tableColumn>
    <tableColumn id="10" xr3:uid="{04D151BC-54E5-446C-9F66-D6F091905EAE}" name="Kopijų sk. _x000a_(DCO count)" dataDxfId="149" totalsRowDxfId="148"/>
    <tableColumn id="11" xr3:uid="{3C6E8EC4-F2EA-4217-8B8D-7E12ED109483}" name="Rodymo savaitė_x000a_(Week on screen)" dataDxfId="147" totalsRowDxfId="146"/>
    <tableColumn id="12" xr3:uid="{DE997AC6-2535-4DE4-B036-2B1042D5EB19}" name="Bendros pajamos _x000a_(Total GBO)" dataDxfId="145" totalsRowDxfId="144"/>
    <tableColumn id="13" xr3:uid="{661F3C1E-7B86-430C-B32E-698C94C0E774}" name="Bendras žiūrovų sk._x000a_(Total ADM)" dataDxfId="143" totalsRowDxfId="142"/>
    <tableColumn id="14" xr3:uid="{11F16521-F96D-4C4C-B60A-F3D50735BDF1}" name="Premjeros data _x000a_(Release date)" dataDxfId="141" totalsRowDxfId="140"/>
    <tableColumn id="15" xr3:uid="{722A71BA-5469-4430-9D5B-D0C498584C1B}" name="Platintojas _x000a_(Distributor)" totalsRowLabel=" " dataDxfId="139" totalsRowDxfId="138"/>
  </tableColumns>
  <tableStyleInfo name="TableStyleLight18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2F01807-27E3-40C5-979D-8AFBFEB3EB78}" name="Table13245" displayName="Table13245" ref="A2:O45" totalsRowCount="1" headerRowDxfId="137" dataDxfId="135" totalsRowDxfId="134" headerRowBorderDxfId="136">
  <sortState xmlns:xlrd2="http://schemas.microsoft.com/office/spreadsheetml/2017/richdata2" ref="A3:O44">
    <sortCondition descending="1" ref="D3:D44"/>
  </sortState>
  <tableColumns count="15">
    <tableColumn id="1" xr3:uid="{108F087D-0B3D-431E-B84D-EE765CE8634B}" name="#" totalsRowLabel=" " dataDxfId="133" totalsRowDxfId="132"/>
    <tableColumn id="2" xr3:uid="{B48D81CC-D140-40AC-98F1-2C4B21A348D4}" name="#_x000a_LW" totalsRowLabel=" " dataDxfId="131" totalsRowDxfId="130"/>
    <tableColumn id="3" xr3:uid="{2CD838AB-64D3-43BE-B6DC-327062BCF16E}" name="Filmas _x000a_(Movie)" totalsRowLabel="Total (42)" dataDxfId="129" totalsRowDxfId="128"/>
    <tableColumn id="4" xr3:uid="{353376D3-DBF8-498B-A5F3-EECA66680254}" name="Pajamos _x000a_(GBO)" totalsRowFunction="sum" dataDxfId="127" totalsRowDxfId="126"/>
    <tableColumn id="5" xr3:uid="{AD7D7B4A-D2A1-4E65-AB8D-5865BEAA0406}" name="Pajamos _x000a_praeita sav._x000a_(GBO LW)" totalsRowLabel="353 051 €" dataDxfId="125" totalsRowDxfId="124"/>
    <tableColumn id="6" xr3:uid="{48BF4300-391A-4E04-810E-91AB58BCB9F4}" name="Pakitimas_x000a_(Change)" totalsRowFunction="custom" dataDxfId="123" totalsRowDxfId="122">
      <calculatedColumnFormula>(D3-E3)/E3</calculatedColumnFormula>
      <totalsRowFormula>(D45-E45)/E45</totalsRowFormula>
    </tableColumn>
    <tableColumn id="7" xr3:uid="{7967E152-5A89-4C9D-A5E2-86B74031F9A9}" name="Žiūrovų sk. _x000a_(ADM)" totalsRowFunction="sum" dataDxfId="121" totalsRowDxfId="120"/>
    <tableColumn id="8" xr3:uid="{290B8321-5486-46FE-A48F-E72E5A068B72}" name="Seansų sk. _x000a_(Show count)" dataDxfId="119" totalsRowDxfId="118"/>
    <tableColumn id="9" xr3:uid="{83D3AED2-123C-4D42-A5C7-BD79D2423BF0}" name="Lankomumo vid._x000a_(Average ADM)" dataDxfId="117" totalsRowDxfId="116">
      <calculatedColumnFormula>G3/H3</calculatedColumnFormula>
    </tableColumn>
    <tableColumn id="10" xr3:uid="{50779FA8-94A3-451A-B052-6318C8EAC2A0}" name="Kopijų sk. _x000a_(DCO count)" dataDxfId="115" totalsRowDxfId="114"/>
    <tableColumn id="11" xr3:uid="{7E1E295A-0748-4149-BB50-3FAB6F0AA697}" name="Rodymo savaitė_x000a_(Week on screen)" dataDxfId="113" totalsRowDxfId="112"/>
    <tableColumn id="12" xr3:uid="{DFA85FF2-A2C7-4FA5-B11A-7CB73EC0E2EB}" name="Bendros pajamos _x000a_(Total GBO)" dataDxfId="111" totalsRowDxfId="110"/>
    <tableColumn id="13" xr3:uid="{0BC8F89B-FF96-4188-98FE-333D17DEA10B}" name="Bendras žiūrovų sk._x000a_(Total ADM)" dataDxfId="109" totalsRowDxfId="108"/>
    <tableColumn id="14" xr3:uid="{F3DFC707-1E8E-4AD4-847C-E0A9A88C1FA0}" name="Premjeros data _x000a_(Release date)" dataDxfId="107" totalsRowDxfId="106"/>
    <tableColumn id="15" xr3:uid="{1D69D9B0-99BA-43C0-9292-75DC78411739}" name="Platintojas _x000a_(Distributor)" totalsRowLabel=" " dataDxfId="105" totalsRowDxfId="104"/>
  </tableColumns>
  <tableStyleInfo name="TableStyleLight18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3373D45-C699-4256-8F29-920FDEEEC722}" name="Table1324" displayName="Table1324" ref="A2:O50" totalsRowCount="1" headerRowDxfId="103" dataDxfId="101" totalsRowDxfId="100" headerRowBorderDxfId="102">
  <sortState xmlns:xlrd2="http://schemas.microsoft.com/office/spreadsheetml/2017/richdata2" ref="A3:O49">
    <sortCondition descending="1" ref="D3:D49"/>
  </sortState>
  <tableColumns count="15">
    <tableColumn id="1" xr3:uid="{13D13AAF-1BA3-43F8-BA76-3C74DEC59272}" name="#" totalsRowLabel=" " dataDxfId="99" totalsRowDxfId="98"/>
    <tableColumn id="2" xr3:uid="{CCB878B9-77F9-4CB4-818B-215C76E664E1}" name="#_x000a_LW" totalsRowLabel=" " dataDxfId="97" totalsRowDxfId="96"/>
    <tableColumn id="3" xr3:uid="{A7B72820-F7E4-4E87-94C7-8A3E209D4844}" name="Filmas _x000a_(Movie)" totalsRowLabel="Total (47)" dataDxfId="95" totalsRowDxfId="94"/>
    <tableColumn id="4" xr3:uid="{833F7344-D460-4D38-AEF8-13275EBECD59}" name="Pajamos _x000a_(GBO)" totalsRowFunction="sum" dataDxfId="93" totalsRowDxfId="92"/>
    <tableColumn id="5" xr3:uid="{A4E96AE3-685C-4D46-AC9A-4F9CA9ADB468}" name="Pajamos _x000a_praeita sav._x000a_(GBO LW)" totalsRowFunction="custom" dataDxfId="91" totalsRowDxfId="90">
      <totalsRowFormula>SUBTOTAL(109,Table132[Pajamos 
(GBO)])</totalsRowFormula>
    </tableColumn>
    <tableColumn id="6" xr3:uid="{19B5A0AA-AB06-423E-B8AC-9D2345491AFC}" name="Pakitimas_x000a_(Change)" totalsRowFunction="custom" dataDxfId="89" totalsRowDxfId="88">
      <calculatedColumnFormula>(D3-E3)/E3</calculatedColumnFormula>
      <totalsRowFormula>(D50-E50)/E50</totalsRowFormula>
    </tableColumn>
    <tableColumn id="7" xr3:uid="{962500EF-FC33-464F-BC2A-94F5BF8590E4}" name="Žiūrovų sk. _x000a_(ADM)" totalsRowFunction="sum" dataDxfId="87" totalsRowDxfId="86"/>
    <tableColumn id="8" xr3:uid="{3CBF8E42-FCBA-4166-9DF3-B4ADE4CD20A6}" name="Seansų sk. _x000a_(Show count)" dataDxfId="85" totalsRowDxfId="84"/>
    <tableColumn id="9" xr3:uid="{E7F0013B-2F0B-4E7F-BC44-B80F06E982F8}" name="Lankomumo vid._x000a_(Average ADM)" dataDxfId="83" totalsRowDxfId="82">
      <calculatedColumnFormula>G3/H3</calculatedColumnFormula>
    </tableColumn>
    <tableColumn id="10" xr3:uid="{8BE9A444-758F-4EFF-9B04-01AE63CC6674}" name="Kopijų sk. _x000a_(DCO count)" dataDxfId="81" totalsRowDxfId="80"/>
    <tableColumn id="11" xr3:uid="{DDE8B005-165E-4C8B-A05E-17EE005ABE3A}" name="Rodymo savaitė_x000a_(Week on screen)" dataDxfId="79" totalsRowDxfId="78"/>
    <tableColumn id="12" xr3:uid="{72ED0CEC-9219-47D2-89E9-404FE4B4DF23}" name="Bendros pajamos _x000a_(Total GBO)" dataDxfId="77" totalsRowDxfId="76"/>
    <tableColumn id="13" xr3:uid="{BA3974C6-E8AE-4DF3-B27B-6BA4A3643C41}" name="Bendras žiūrovų sk._x000a_(Total ADM)" dataDxfId="75" totalsRowDxfId="74"/>
    <tableColumn id="14" xr3:uid="{2DCD4BBD-7893-4D4C-AA7F-8E617C824503}" name="Premjeros data _x000a_(Release date)" dataDxfId="73" totalsRowDxfId="72"/>
    <tableColumn id="15" xr3:uid="{F53EB656-99D5-4F00-B63D-6E9B65368599}" name="Platintojas _x000a_(Distributor)" totalsRowLabel=" " dataDxfId="71" totalsRowDxfId="70"/>
  </tableColumns>
  <tableStyleInfo name="TableStyleLight18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28A846-C6A7-4D0A-92C9-293C71DDD00B}" name="Table132" displayName="Table132" ref="A2:O39" totalsRowCount="1" headerRowDxfId="69" dataDxfId="67" totalsRowDxfId="66" headerRowBorderDxfId="68">
  <autoFilter ref="A2:O38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8">
    <sortCondition descending="1" ref="D3:D38"/>
  </sortState>
  <tableColumns count="15">
    <tableColumn id="1" xr3:uid="{B4688AC5-01E8-42FD-870C-BCF5577C432E}" name="#" totalsRowLabel=" " dataDxfId="65" totalsRowDxfId="64"/>
    <tableColumn id="2" xr3:uid="{B3454D60-6D2E-4DF6-A511-09C0BF28D47C}" name="#_x000a_LW" dataDxfId="63" totalsRowDxfId="62"/>
    <tableColumn id="3" xr3:uid="{43C0A685-7248-48AF-B5D4-FCB8382D54C4}" name="Filmas _x000a_(Movie)" totalsRowLabel="Total (36)" dataDxfId="61" totalsRowDxfId="60"/>
    <tableColumn id="4" xr3:uid="{011775B1-EAB5-4D31-A092-1DFF0BD63D2D}" name="Pajamos _x000a_(GBO)" totalsRowFunction="sum" dataDxfId="59" totalsRowDxfId="58"/>
    <tableColumn id="5" xr3:uid="{3D4F41C3-68AC-4B52-BEA8-FA73D48D2E00}" name="Pajamos _x000a_praeita sav._x000a_(GBO LW)" totalsRowLabel="228 478 €" dataDxfId="57" totalsRowDxfId="56"/>
    <tableColumn id="6" xr3:uid="{13340EA6-C652-4B3D-867E-B67D62DBE66B}" name="Pakitimas_x000a_(Change)" totalsRowFunction="custom" dataDxfId="55" totalsRowDxfId="54">
      <calculatedColumnFormula>(D3-E3)/E3</calculatedColumnFormula>
      <totalsRowFormula>(D39-E39)/E39</totalsRowFormula>
    </tableColumn>
    <tableColumn id="7" xr3:uid="{7E1E1CAC-8619-4B4C-B1AB-D1E804FBECE9}" name="Žiūrovų sk. _x000a_(ADM)" totalsRowFunction="sum" dataDxfId="53" totalsRowDxfId="52"/>
    <tableColumn id="8" xr3:uid="{1AB3A279-CF4A-4C72-A9DC-C02FB467CC56}" name="Seansų sk. _x000a_(Show count)" dataDxfId="51" totalsRowDxfId="50"/>
    <tableColumn id="9" xr3:uid="{172513C7-DC83-4998-B2B7-7B937B5BE88D}" name="Lankomumo vid._x000a_(Average ADM)" dataDxfId="49" totalsRowDxfId="48">
      <calculatedColumnFormula>G3/H3</calculatedColumnFormula>
    </tableColumn>
    <tableColumn id="10" xr3:uid="{D12B2A51-3D9E-4511-9F44-8A1B69EB5539}" name="Kopijų sk. _x000a_(DCO count)" dataDxfId="47" totalsRowDxfId="46"/>
    <tableColumn id="11" xr3:uid="{DD6831F6-7322-4A87-A887-894A86157065}" name="Rodymo savaitė_x000a_(Week on screen)" dataDxfId="45" totalsRowDxfId="44"/>
    <tableColumn id="12" xr3:uid="{CBF54D99-BC3E-449C-A261-B9CBC75D87F9}" name="Bendros pajamos _x000a_(Total GBO)" dataDxfId="43" totalsRowDxfId="42"/>
    <tableColumn id="13" xr3:uid="{80171298-D2E5-491A-AB5C-0867C4776906}" name="Bendras žiūrovų sk._x000a_(Total ADM)" dataDxfId="41" totalsRowDxfId="40"/>
    <tableColumn id="14" xr3:uid="{4B579497-93E6-4ECE-958D-6AAB5F67C395}" name="Premjeros data _x000a_(Release date)" dataDxfId="39" totalsRowDxfId="38"/>
    <tableColumn id="15" xr3:uid="{1D266629-D00E-4FF0-8222-7C4F75A66396}" name="Platintojas _x000a_(Distributor)" totalsRowLabel=" " dataDxfId="37" totalsRowDxfId="36"/>
  </tableColumns>
  <tableStyleInfo name="TableStyleLight18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379E32-778B-487C-96D9-D0884832B667}" name="Table13" displayName="Table13" ref="A2:O38" totalsRowCount="1" headerRowDxfId="35" dataDxfId="33" totalsRowDxfId="32" headerRowBorderDxfId="34">
  <autoFilter ref="A2:O37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7">
    <sortCondition descending="1" ref="D3:D37"/>
  </sortState>
  <tableColumns count="15">
    <tableColumn id="1" xr3:uid="{93EC8040-391C-4B64-803B-946594B6B7F7}" name="#" totalsRowLabel=" " dataDxfId="31" totalsRowDxfId="30"/>
    <tableColumn id="2" xr3:uid="{D6AA89DD-F402-49ED-B2CA-B45ED30EB6A8}" name="#_x000a_LW" dataDxfId="29" totalsRowDxfId="28"/>
    <tableColumn id="3" xr3:uid="{8524161D-F780-40E6-96D9-D46D84D91E1F}" name="Filmas _x000a_(Movie)" totalsRowLabel="Total (35)" dataDxfId="27" totalsRowDxfId="26"/>
    <tableColumn id="4" xr3:uid="{898DAD4F-B56E-4B96-9BAF-7609A0041E01}" name="Pajamos _x000a_(GBO)" totalsRowFunction="sum" dataDxfId="25" totalsRowDxfId="24"/>
    <tableColumn id="5" xr3:uid="{C59F2D4C-5823-45F4-9D98-114FFD01A927}" name="Pajamos _x000a_praeita sav._x000a_(GBO LW)" totalsRowLabel="167 051 €" dataDxfId="23" totalsRowDxfId="22"/>
    <tableColumn id="6" xr3:uid="{F957FCE3-B2E4-448E-8740-03D906BC5EB7}" name="Pakitimas_x000a_(Change)" totalsRowFunction="custom" dataDxfId="21" totalsRowDxfId="20">
      <calculatedColumnFormula>(D3-E3)/E3</calculatedColumnFormula>
      <totalsRowFormula>(D38-E38)/E38</totalsRowFormula>
    </tableColumn>
    <tableColumn id="7" xr3:uid="{45DD8E99-004C-4D9C-979D-6F515FFFFB92}" name="Žiūrovų sk. _x000a_(ADM)" totalsRowFunction="sum" dataDxfId="19" totalsRowDxfId="18"/>
    <tableColumn id="8" xr3:uid="{2BB64C16-9186-4C4A-A0C9-08323CEFC402}" name="Seansų sk. _x000a_(Show count)" dataDxfId="17" totalsRowDxfId="16"/>
    <tableColumn id="9" xr3:uid="{F6C07FA5-1C03-4357-A44D-0B81FC66E2AF}" name="Lankomumo vid._x000a_(Average ADM)" dataDxfId="15" totalsRowDxfId="14">
      <calculatedColumnFormula>G3/H3</calculatedColumnFormula>
    </tableColumn>
    <tableColumn id="10" xr3:uid="{A3E561A1-4C0E-457E-84AA-349FD64794AE}" name="Kopijų sk. _x000a_(DCO count)" dataDxfId="13" totalsRowDxfId="12"/>
    <tableColumn id="11" xr3:uid="{E20BF4A7-9048-401E-A6FA-983414B01ED2}" name="Rodymo savaitė_x000a_(Week on screen)" dataDxfId="11" totalsRowDxfId="10"/>
    <tableColumn id="12" xr3:uid="{67BC01BA-5CB2-41D3-AB69-350EFF0FD930}" name="Bendros pajamos _x000a_(Total GBO)" dataDxfId="9" totalsRowDxfId="8"/>
    <tableColumn id="13" xr3:uid="{37483393-9FD8-4B34-8B9D-DE79FEFE93B2}" name="Bendras žiūrovų sk._x000a_(Total ADM)" dataDxfId="7" totalsRowDxfId="6"/>
    <tableColumn id="14" xr3:uid="{EADF24B6-15DA-48EA-B223-A587598EEB24}" name="Premjeros data _x000a_(Release date)" dataDxfId="5" totalsRowDxfId="4"/>
    <tableColumn id="15" xr3:uid="{5103FA11-CF5D-49EC-A2A1-D131ABB2109C}" name="Platintojas _x000a_(Distributor)" totalsRowLabel=" " dataDxfId="3" totalsRowDxfId="2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1E039E96-57FA-4BDF-967C-C5B8EAFDB056}" name="Table132456789101112131415171618281920212223242526" displayName="Table132456789101112131415171618281920212223242526" ref="A2:O42" totalsRowCount="1" headerRowDxfId="885" dataDxfId="883" totalsRowDxfId="882" headerRowBorderDxfId="884">
  <sortState xmlns:xlrd2="http://schemas.microsoft.com/office/spreadsheetml/2017/richdata2" ref="A3:O41">
    <sortCondition descending="1" ref="D3:D41"/>
  </sortState>
  <tableColumns count="15">
    <tableColumn id="1" xr3:uid="{8CE9B104-E3E3-4538-9461-B84E5D3BDA7D}" name="#" dataDxfId="881" totalsRowDxfId="880"/>
    <tableColumn id="2" xr3:uid="{0D7EE224-E279-4917-ABE0-70F90AEDAF46}" name="#_x000a_LW" totalsRowLabel=" " dataDxfId="879" totalsRowDxfId="878"/>
    <tableColumn id="3" xr3:uid="{CF1936CB-91C6-4636-ACCB-86EACD2490A8}" name="Filmas _x000a_(Movie)" totalsRowLabel="Total (39)" dataDxfId="877" totalsRowDxfId="876"/>
    <tableColumn id="4" xr3:uid="{24113336-351C-401C-B99B-6A5BA4BC5E13}" name="Pajamos _x000a_(GBO)" totalsRowFunction="sum" dataDxfId="875" totalsRowDxfId="874"/>
    <tableColumn id="5" xr3:uid="{E81712F8-BF63-4199-B7A6-8C0BDC85643C}" name="Pajamos _x000a_praeita sav._x000a_(GBO LW)" totalsRowLabel="446 630 €" dataDxfId="873" totalsRowDxfId="872" dataCellStyle="Normal 2 4"/>
    <tableColumn id="6" xr3:uid="{A4CAF52F-0B8C-4E97-80EC-D78E1BC26354}" name="Pakitimas_x000a_(Change)" totalsRowFunction="custom" dataDxfId="871" totalsRowDxfId="870">
      <calculatedColumnFormula>(D3-E3)/E3</calculatedColumnFormula>
      <totalsRowFormula>(D42-E42)/E42</totalsRowFormula>
    </tableColumn>
    <tableColumn id="7" xr3:uid="{E93AF3B5-8BF9-46C0-9536-8D07AC168F74}" name="Žiūrovų sk. _x000a_(ADM)" totalsRowFunction="sum" dataDxfId="869" totalsRowDxfId="868"/>
    <tableColumn id="8" xr3:uid="{2ACF52F8-CBBB-4267-B688-2EF49A92B759}" name="Seansų sk. _x000a_(Show count)" dataDxfId="867" totalsRowDxfId="866"/>
    <tableColumn id="9" xr3:uid="{91D1FC47-32D6-43C5-AA6C-38086D30153B}" name="Lankomumo vid._x000a_(Average ADM)" dataDxfId="865" totalsRowDxfId="864">
      <calculatedColumnFormula>G3/H3</calculatedColumnFormula>
    </tableColumn>
    <tableColumn id="10" xr3:uid="{B2076BC7-E57A-46A3-9601-F896EF545073}" name="Kopijų sk. _x000a_(DCO count)" dataDxfId="863" totalsRowDxfId="862"/>
    <tableColumn id="11" xr3:uid="{7252C9AD-D4B0-484B-83E9-577B147B811B}" name="Rodymo savaitė_x000a_(Week on screen)" dataDxfId="861" totalsRowDxfId="860"/>
    <tableColumn id="12" xr3:uid="{6BBA347C-7307-4512-B06E-C34A9E07E43D}" name="Bendros pajamos _x000a_(Total GBO)" dataDxfId="859" totalsRowDxfId="858"/>
    <tableColumn id="13" xr3:uid="{D2128211-C502-40A3-B24D-9CDEC976A103}" name="Bendras žiūrovų sk._x000a_(Total ADM)" dataDxfId="857" totalsRowDxfId="856"/>
    <tableColumn id="14" xr3:uid="{DE6075F7-EA8F-488B-B95F-604889A93A42}" name="Premjeros data _x000a_(Release date)" dataDxfId="855" totalsRowDxfId="854"/>
    <tableColumn id="15" xr3:uid="{3FC4ADB5-5E6A-4BA1-BE88-DFD170A5C85B}" name="Platintojas _x000a_(Distributor)" totalsRowLabel=" " dataDxfId="853" totalsRowDxfId="852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12435BAB-E21D-497E-83A1-595AA45CCF63}" name="Table1324567891011121314151716182819202122232425" displayName="Table1324567891011121314151716182819202122232425" ref="A2:O38" totalsRowCount="1" headerRowDxfId="851" dataDxfId="849" totalsRowDxfId="848" headerRowBorderDxfId="850">
  <sortState xmlns:xlrd2="http://schemas.microsoft.com/office/spreadsheetml/2017/richdata2" ref="A3:O37">
    <sortCondition descending="1" ref="D3:D37"/>
  </sortState>
  <tableColumns count="15">
    <tableColumn id="1" xr3:uid="{65A722EA-3B99-448D-BE73-3A6172BAA005}" name="#" dataDxfId="847" totalsRowDxfId="846"/>
    <tableColumn id="2" xr3:uid="{98AC625D-76F8-4989-AB6F-99DB58F535B4}" name="#_x000a_LW" totalsRowLabel=" " dataDxfId="845" totalsRowDxfId="844"/>
    <tableColumn id="3" xr3:uid="{DDABA83E-2545-468A-9373-FAA51F2FBACA}" name="Filmas _x000a_(Movie)" totalsRowLabel="Total (35)" dataDxfId="843" totalsRowDxfId="842"/>
    <tableColumn id="4" xr3:uid="{8A5165DE-7EEE-454B-B0E8-59AA3F200137}" name="Pajamos _x000a_(GBO)" totalsRowFunction="sum" dataDxfId="841" totalsRowDxfId="840"/>
    <tableColumn id="5" xr3:uid="{6B2B4501-F8F0-4515-B005-9D39DE1ACE44}" name="Pajamos _x000a_praeita sav._x000a_(GBO LW)" totalsRowLabel="481 028 €" dataDxfId="839" totalsRowDxfId="838" dataCellStyle="Normal 2 4"/>
    <tableColumn id="6" xr3:uid="{97D6327E-08D2-4040-B6F5-241344591675}" name="Pakitimas_x000a_(Change)" totalsRowFunction="custom" dataDxfId="837" totalsRowDxfId="836">
      <calculatedColumnFormula>(D3-E3)/E3</calculatedColumnFormula>
      <totalsRowFormula>(D38-E38)/E38</totalsRowFormula>
    </tableColumn>
    <tableColumn id="7" xr3:uid="{8DABD702-6ECD-44D3-A76A-041C8AE5EB9C}" name="Žiūrovų sk. _x000a_(ADM)" totalsRowFunction="sum" dataDxfId="835" totalsRowDxfId="834"/>
    <tableColumn id="8" xr3:uid="{52961D0B-9830-4EB7-8AAA-13E66A195A13}" name="Seansų sk. _x000a_(Show count)" dataDxfId="833" totalsRowDxfId="832"/>
    <tableColumn id="9" xr3:uid="{B061C5AA-60C1-4015-89C5-FB2B4F8BBFC5}" name="Lankomumo vid._x000a_(Average ADM)" dataDxfId="831" totalsRowDxfId="830">
      <calculatedColumnFormula>G3/H3</calculatedColumnFormula>
    </tableColumn>
    <tableColumn id="10" xr3:uid="{CAABBFBC-F347-4531-BFF6-B95B8F769118}" name="Kopijų sk. _x000a_(DCO count)" dataDxfId="829" totalsRowDxfId="828"/>
    <tableColumn id="11" xr3:uid="{619B6A52-981B-4443-A604-2512BC4F50D3}" name="Rodymo savaitė_x000a_(Week on screen)" dataDxfId="827" totalsRowDxfId="826"/>
    <tableColumn id="12" xr3:uid="{64AEA674-FF9E-431F-8BB4-1116577E0707}" name="Bendros pajamos _x000a_(Total GBO)" dataDxfId="825" totalsRowDxfId="824"/>
    <tableColumn id="13" xr3:uid="{25CD6D8B-2AEA-49FB-8FC6-23C8659ED86C}" name="Bendras žiūrovų sk._x000a_(Total ADM)" dataDxfId="823" totalsRowDxfId="822"/>
    <tableColumn id="14" xr3:uid="{D4888F81-3193-43C2-BC47-CC0E27CB33F8}" name="Premjeros data _x000a_(Release date)" dataDxfId="821" totalsRowDxfId="820"/>
    <tableColumn id="15" xr3:uid="{B0784963-8764-400F-B103-9ED1383AFBD1}" name="Platintojas _x000a_(Distributor)" totalsRowLabel=" " dataDxfId="819" totalsRowDxfId="818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4C17CA5E-3989-42D0-9EDC-9E5B77013761}" name="Table13245678910111213141517161828192021222324" displayName="Table13245678910111213141517161828192021222324" ref="A2:O39" totalsRowCount="1" headerRowDxfId="817" dataDxfId="815" totalsRowDxfId="814" headerRowBorderDxfId="816">
  <sortState xmlns:xlrd2="http://schemas.microsoft.com/office/spreadsheetml/2017/richdata2" ref="A3:O38">
    <sortCondition descending="1" ref="D3:D38"/>
  </sortState>
  <tableColumns count="15">
    <tableColumn id="1" xr3:uid="{02FA03AC-3396-4392-BADD-CB5A1CB72608}" name="#" dataDxfId="813" totalsRowDxfId="812"/>
    <tableColumn id="2" xr3:uid="{D9468D40-737A-4488-8BB4-2B52563D16AE}" name="#_x000a_LW" totalsRowLabel=" " dataDxfId="811" totalsRowDxfId="810"/>
    <tableColumn id="3" xr3:uid="{4BCC848A-F611-4613-BA1B-9DB0C29B1DE4}" name="Filmas _x000a_(Movie)" totalsRowLabel="Total (36)" dataDxfId="809" totalsRowDxfId="808"/>
    <tableColumn id="4" xr3:uid="{212ADF31-0E52-4404-BD3C-62D2FB2BB514}" name="Pajamos _x000a_(GBO)" totalsRowFunction="sum" dataDxfId="807" totalsRowDxfId="806"/>
    <tableColumn id="5" xr3:uid="{922C0319-5168-4616-8B93-FAABE495EE0C}" name="Pajamos _x000a_praeita sav._x000a_(GBO LW)" totalsRowLabel="577 710 €" dataDxfId="805" totalsRowDxfId="804" dataCellStyle="Normal 2 4"/>
    <tableColumn id="6" xr3:uid="{F6FD9FD9-E641-45BE-8C76-D54E691661D1}" name="Pakitimas_x000a_(Change)" totalsRowFunction="custom" dataDxfId="803" totalsRowDxfId="802">
      <calculatedColumnFormula>(D3-E3)/E3</calculatedColumnFormula>
      <totalsRowFormula>(D39-E39)/E39</totalsRowFormula>
    </tableColumn>
    <tableColumn id="7" xr3:uid="{2902817A-6D20-436A-9F48-0DDD61EE043D}" name="Žiūrovų sk. _x000a_(ADM)" totalsRowFunction="sum" dataDxfId="801" totalsRowDxfId="800"/>
    <tableColumn id="8" xr3:uid="{66D885C0-D5ED-4E25-9FB4-70A3DD9B0B56}" name="Seansų sk. _x000a_(Show count)" dataDxfId="799" totalsRowDxfId="798"/>
    <tableColumn id="9" xr3:uid="{4D0DC934-0E92-424B-9911-D1D29A2AB6D1}" name="Lankomumo vid._x000a_(Average ADM)" dataDxfId="797" totalsRowDxfId="796">
      <calculatedColumnFormula>G3/H3</calculatedColumnFormula>
    </tableColumn>
    <tableColumn id="10" xr3:uid="{6428D6B3-F89D-40F2-AC52-31C5053DD8D3}" name="Kopijų sk. _x000a_(DCO count)" dataDxfId="795" totalsRowDxfId="794"/>
    <tableColumn id="11" xr3:uid="{8020CD30-CDB4-43F8-908B-D05A8266DB9B}" name="Rodymo savaitė_x000a_(Week on screen)" dataDxfId="793" totalsRowDxfId="792"/>
    <tableColumn id="12" xr3:uid="{535028ED-758F-4847-9DB0-1DE79697225C}" name="Bendros pajamos _x000a_(Total GBO)" dataDxfId="791" totalsRowDxfId="790"/>
    <tableColumn id="13" xr3:uid="{BB947179-0D88-46D9-A2E8-2CBF1AAB85DD}" name="Bendras žiūrovų sk._x000a_(Total ADM)" dataDxfId="789" totalsRowDxfId="788"/>
    <tableColumn id="14" xr3:uid="{5718738F-F41C-4844-8001-07E6E11F2AF6}" name="Premjeros data _x000a_(Release date)" dataDxfId="787" totalsRowDxfId="786"/>
    <tableColumn id="15" xr3:uid="{A085A186-590B-4B03-BE65-DA749907097A}" name="Platintojas _x000a_(Distributor)" totalsRowLabel=" " dataDxfId="785" totalsRowDxfId="784"/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83CBC99-33F5-4969-A073-C9121D1238FC}" name="Table132456789101112131415171618281920212223" displayName="Table132456789101112131415171618281920212223" ref="A2:O46" totalsRowCount="1" headerRowDxfId="783" dataDxfId="781" totalsRowDxfId="780" headerRowBorderDxfId="782">
  <sortState xmlns:xlrd2="http://schemas.microsoft.com/office/spreadsheetml/2017/richdata2" ref="A3:O45">
    <sortCondition descending="1" ref="D3:D45"/>
  </sortState>
  <tableColumns count="15">
    <tableColumn id="1" xr3:uid="{933E5E35-148C-480A-BAB6-B0869C4B8A15}" name="#" dataDxfId="779" totalsRowDxfId="778"/>
    <tableColumn id="2" xr3:uid="{FDF81E7E-9B32-4ABA-94A9-08AD4BD4EEB6}" name="#_x000a_LW" totalsRowLabel=" " dataDxfId="777" totalsRowDxfId="776"/>
    <tableColumn id="3" xr3:uid="{1DA318D5-097E-40B9-94CF-8144FD065F1F}" name="Filmas _x000a_(Movie)" totalsRowLabel="Total (43)" dataDxfId="775" totalsRowDxfId="774"/>
    <tableColumn id="4" xr3:uid="{3ECFF75D-9311-45FE-943E-CF58F6542667}" name="Pajamos _x000a_(GBO)" totalsRowFunction="sum" dataDxfId="773" totalsRowDxfId="772"/>
    <tableColumn id="5" xr3:uid="{D043A7A8-4489-4B8C-A550-933119D0E359}" name="Pajamos _x000a_praeita sav._x000a_(GBO LW)" totalsRowLabel="287 704 €" dataDxfId="771" totalsRowDxfId="770" dataCellStyle="Normal 2 4"/>
    <tableColumn id="6" xr3:uid="{77218F7F-2E6B-491A-B51A-5D9DCFF2CE25}" name="Pakitimas_x000a_(Change)" totalsRowFunction="custom" dataDxfId="769" totalsRowDxfId="768">
      <calculatedColumnFormula>(D3-E3)/E3</calculatedColumnFormula>
      <totalsRowFormula>(D46-E46)/E46</totalsRowFormula>
    </tableColumn>
    <tableColumn id="7" xr3:uid="{DB9D6884-7FD6-4D95-8416-36FC45C362DA}" name="Žiūrovų sk. _x000a_(ADM)" totalsRowFunction="sum" dataDxfId="767" totalsRowDxfId="766"/>
    <tableColumn id="8" xr3:uid="{699A2D4F-EDE6-461F-841C-FCBFEFB2AF39}" name="Seansų sk. _x000a_(Show count)" dataDxfId="765" totalsRowDxfId="764"/>
    <tableColumn id="9" xr3:uid="{11881807-3EDA-408A-8363-D1B8365E893E}" name="Lankomumo vid._x000a_(Average ADM)" dataDxfId="763" totalsRowDxfId="762">
      <calculatedColumnFormula>G3/H3</calculatedColumnFormula>
    </tableColumn>
    <tableColumn id="10" xr3:uid="{085A2078-3BAD-4483-9818-77AA7E813F03}" name="Kopijų sk. _x000a_(DCO count)" dataDxfId="761" totalsRowDxfId="760"/>
    <tableColumn id="11" xr3:uid="{EFBFC71E-3079-4650-A31A-62CD7E049B12}" name="Rodymo savaitė_x000a_(Week on screen)" dataDxfId="759" totalsRowDxfId="758"/>
    <tableColumn id="12" xr3:uid="{E89406FE-E61E-4192-81C1-253D21FAFC66}" name="Bendros pajamos _x000a_(Total GBO)" dataDxfId="757" totalsRowDxfId="756"/>
    <tableColumn id="13" xr3:uid="{7CC36BF5-43EA-460A-9B2F-9933D25DFCF3}" name="Bendras žiūrovų sk._x000a_(Total ADM)" dataDxfId="755" totalsRowDxfId="754"/>
    <tableColumn id="14" xr3:uid="{FBC39292-A80F-40ED-9297-78D83CEEB8F7}" name="Premjeros data _x000a_(Release date)" dataDxfId="753" totalsRowDxfId="752"/>
    <tableColumn id="15" xr3:uid="{6DA70C0C-8266-440A-898B-C1564031D335}" name="Platintojas _x000a_(Distributor)" totalsRowLabel=" " dataDxfId="751" totalsRowDxfId="750"/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D08C40A7-C4A8-498B-BD23-09A87FD4AA09}" name="Table1324567891011121314151716182819202122" displayName="Table1324567891011121314151716182819202122" ref="A2:O41" totalsRowCount="1" headerRowDxfId="749" dataDxfId="747" totalsRowDxfId="746" headerRowBorderDxfId="748">
  <sortState xmlns:xlrd2="http://schemas.microsoft.com/office/spreadsheetml/2017/richdata2" ref="A3:O40">
    <sortCondition descending="1" ref="D3:D40"/>
  </sortState>
  <tableColumns count="15">
    <tableColumn id="1" xr3:uid="{AB2471CB-69E6-4D10-8316-D429A2D0E859}" name="#" dataDxfId="745" totalsRowDxfId="744"/>
    <tableColumn id="2" xr3:uid="{A860100A-3B9F-4B1F-B7AD-12BABCB26B0D}" name="#_x000a_LW" totalsRowLabel=" " dataDxfId="743" totalsRowDxfId="742"/>
    <tableColumn id="3" xr3:uid="{E7000B8E-4D6C-435E-A0B5-D0CC9DD53859}" name="Filmas _x000a_(Movie)" totalsRowLabel="Total (38)" dataDxfId="741" totalsRowDxfId="740"/>
    <tableColumn id="4" xr3:uid="{B9F38802-553F-411D-9361-973BF1DAF2DC}" name="Pajamos _x000a_(GBO)" totalsRowFunction="sum" dataDxfId="739" totalsRowDxfId="738"/>
    <tableColumn id="5" xr3:uid="{A029108A-6073-4362-B9A9-387CA9537A8E}" name="Pajamos _x000a_praeita sav._x000a_(GBO LW)" totalsRowLabel="271 775 €" dataDxfId="737" totalsRowDxfId="736" dataCellStyle="Normal 2 4"/>
    <tableColumn id="6" xr3:uid="{2BBD7001-E12C-4BB0-AFDC-CD5D6734A78C}" name="Pakitimas_x000a_(Change)" totalsRowFunction="custom" dataDxfId="735" totalsRowDxfId="734">
      <calculatedColumnFormula>(D3-E3)/E3</calculatedColumnFormula>
      <totalsRowFormula>(D41-E41)/E41</totalsRowFormula>
    </tableColumn>
    <tableColumn id="7" xr3:uid="{8F713E01-7912-4523-9ECB-43AB9D3AC62E}" name="Žiūrovų sk. _x000a_(ADM)" totalsRowFunction="sum" dataDxfId="733" totalsRowDxfId="732"/>
    <tableColumn id="8" xr3:uid="{A90186E7-63BE-4F0C-9716-EC9C52AF2293}" name="Seansų sk. _x000a_(Show count)" dataDxfId="731" totalsRowDxfId="730"/>
    <tableColumn id="9" xr3:uid="{C90B09ED-E954-48D4-83E5-3ED435E50EE5}" name="Lankomumo vid._x000a_(Average ADM)" dataDxfId="729" totalsRowDxfId="728">
      <calculatedColumnFormula>G3/H3</calculatedColumnFormula>
    </tableColumn>
    <tableColumn id="10" xr3:uid="{F3FDC60E-54CD-4EFC-8AE4-AD905DB1C855}" name="Kopijų sk. _x000a_(DCO count)" dataDxfId="727" totalsRowDxfId="726"/>
    <tableColumn id="11" xr3:uid="{5CEB3C4A-10C3-43E0-A123-8B3DB3CF8AF6}" name="Rodymo savaitė_x000a_(Week on screen)" dataDxfId="725" totalsRowDxfId="724"/>
    <tableColumn id="12" xr3:uid="{7C9C33E3-5E81-4FC7-9098-F5087BE3B71E}" name="Bendros pajamos _x000a_(Total GBO)" dataDxfId="723" totalsRowDxfId="722"/>
    <tableColumn id="13" xr3:uid="{B6A09AEA-A392-44E4-AD78-73B51E606A76}" name="Bendras žiūrovų sk._x000a_(Total ADM)" dataDxfId="721" totalsRowDxfId="720"/>
    <tableColumn id="14" xr3:uid="{60164194-CFB4-4495-8877-165187A56861}" name="Premjeros data _x000a_(Release date)" dataDxfId="719" totalsRowDxfId="718"/>
    <tableColumn id="15" xr3:uid="{C168E3C2-D5CA-4D08-A96A-91B320FF4A24}" name="Platintojas _x000a_(Distributor)" totalsRowLabel=" " dataDxfId="717" totalsRowDxfId="716"/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278959BC-1452-405C-B708-84A8F1D87078}" name="Table13245678910111213141517161828192021" displayName="Table13245678910111213141517161828192021" ref="A2:O37" totalsRowCount="1" headerRowDxfId="715" dataDxfId="713" totalsRowDxfId="712" headerRowBorderDxfId="714">
  <sortState xmlns:xlrd2="http://schemas.microsoft.com/office/spreadsheetml/2017/richdata2" ref="A3:O36">
    <sortCondition descending="1" ref="D3:D36"/>
  </sortState>
  <tableColumns count="15">
    <tableColumn id="1" xr3:uid="{394BD605-DCDA-4B27-8AC4-AEBD0ADA6B16}" name="#" dataDxfId="711" totalsRowDxfId="710"/>
    <tableColumn id="2" xr3:uid="{3328D546-3391-45DA-870F-70E94AE04856}" name="#_x000a_LW" totalsRowLabel=" " dataDxfId="709" totalsRowDxfId="708"/>
    <tableColumn id="3" xr3:uid="{1862DB3E-C923-4640-B76A-DBFF61FB89F1}" name="Filmas _x000a_(Movie)" totalsRowLabel="Total (34)" dataDxfId="707" totalsRowDxfId="706"/>
    <tableColumn id="4" xr3:uid="{0A2424B9-18BD-470A-A7F1-EB917715B7A0}" name="Pajamos _x000a_(GBO)" totalsRowFunction="sum" dataDxfId="705" totalsRowDxfId="704"/>
    <tableColumn id="5" xr3:uid="{02216C6E-19F0-4718-9098-5A9E6A53C71A}" name="Pajamos _x000a_praeita sav._x000a_(GBO LW)" totalsRowLabel="365 333 €" dataDxfId="703" totalsRowDxfId="702" dataCellStyle="Normal 2 4"/>
    <tableColumn id="6" xr3:uid="{DE7F9762-6D81-4F7F-8D67-C0194E3E56B1}" name="Pakitimas_x000a_(Change)" totalsRowFunction="custom" dataDxfId="701" totalsRowDxfId="700">
      <calculatedColumnFormula>(D3-E3)/E3</calculatedColumnFormula>
      <totalsRowFormula>(D37-E37)/E37</totalsRowFormula>
    </tableColumn>
    <tableColumn id="7" xr3:uid="{073AD6D0-1345-48D4-8C0D-434895DB97CD}" name="Žiūrovų sk. _x000a_(ADM)" totalsRowFunction="stdDev" dataDxfId="699" totalsRowDxfId="698"/>
    <tableColumn id="8" xr3:uid="{18F5329C-F086-407B-B6A8-B84BE85BF765}" name="Seansų sk. _x000a_(Show count)" dataDxfId="697" totalsRowDxfId="696"/>
    <tableColumn id="9" xr3:uid="{203E00FA-132C-4952-98AD-B728210864D1}" name="Lankomumo vid._x000a_(Average ADM)" dataDxfId="695" totalsRowDxfId="694">
      <calculatedColumnFormula>G3/H3</calculatedColumnFormula>
    </tableColumn>
    <tableColumn id="10" xr3:uid="{C837DFE6-D4C1-4F76-A556-8F0C9543396E}" name="Kopijų sk. _x000a_(DCO count)" dataDxfId="693" totalsRowDxfId="692"/>
    <tableColumn id="11" xr3:uid="{B82F9CE8-FD67-4086-BF0F-D902D307DF14}" name="Rodymo savaitė_x000a_(Week on screen)" dataDxfId="691" totalsRowDxfId="690"/>
    <tableColumn id="12" xr3:uid="{DCCC2B7A-483C-440C-8D83-6279D280770E}" name="Bendros pajamos _x000a_(Total GBO)" dataDxfId="689" totalsRowDxfId="688"/>
    <tableColumn id="13" xr3:uid="{01943D89-392B-4E34-875F-872BEAF71736}" name="Bendras žiūrovų sk._x000a_(Total ADM)" dataDxfId="687" totalsRowDxfId="686"/>
    <tableColumn id="14" xr3:uid="{8B9F94A8-38F5-4727-8633-0013ADD12175}" name="Premjeros data _x000a_(Release date)" dataDxfId="685" totalsRowDxfId="684"/>
    <tableColumn id="15" xr3:uid="{FD66255D-B386-4F4E-8B55-ADB226F9EA59}" name="Platintojas _x000a_(Distributor)" totalsRowLabel=" " dataDxfId="683" totalsRowDxfId="682"/>
  </tableColumns>
  <tableStyleInfo name="TableStyleLight1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3EFE1716-B5EC-4E8C-8FB3-C5498C8A7266}" name="Table132456789101112131415171618281920" displayName="Table132456789101112131415171618281920" ref="A2:O31" totalsRowCount="1" headerRowDxfId="681" dataDxfId="679" totalsRowDxfId="678" headerRowBorderDxfId="680">
  <sortState xmlns:xlrd2="http://schemas.microsoft.com/office/spreadsheetml/2017/richdata2" ref="A3:O30">
    <sortCondition descending="1" ref="D3:D30"/>
  </sortState>
  <tableColumns count="15">
    <tableColumn id="1" xr3:uid="{8A5642E3-F318-459B-9957-4E5C41719369}" name="#" dataDxfId="677" totalsRowDxfId="676"/>
    <tableColumn id="2" xr3:uid="{D820FC83-1764-4D8A-B1FC-CDC6DD04B719}" name="#_x000a_LW" totalsRowLabel=" " dataDxfId="675" totalsRowDxfId="674"/>
    <tableColumn id="3" xr3:uid="{D31E90AF-3C3D-463D-AFBD-73B56C4A1669}" name="Filmas _x000a_(Movie)" totalsRowLabel="Total (28)" dataDxfId="673" totalsRowDxfId="672"/>
    <tableColumn id="4" xr3:uid="{05259D98-B861-4A7F-8F47-9D78C0706D87}" name="Pajamos _x000a_(GBO)" totalsRowFunction="sum" dataDxfId="671" totalsRowDxfId="670"/>
    <tableColumn id="5" xr3:uid="{812E7E13-B4EB-4AF5-8407-A54A0F6838C7}" name="Pajamos _x000a_praeita sav._x000a_(GBO LW)" totalsRowLabel="388 320 €" dataDxfId="669" totalsRowDxfId="668" dataCellStyle="Normal 2 4"/>
    <tableColumn id="6" xr3:uid="{F89A5A93-9FB6-4BBE-A9D3-8BFE287A63E1}" name="Pakitimas_x000a_(Change)" totalsRowFunction="custom" dataDxfId="667" totalsRowDxfId="666">
      <calculatedColumnFormula>(D3-E3)/E3</calculatedColumnFormula>
      <totalsRowFormula>(D31-E31)/E31</totalsRowFormula>
    </tableColumn>
    <tableColumn id="7" xr3:uid="{21D30E34-C253-4C3A-A65E-0BF47769F9C4}" name="Žiūrovų sk. _x000a_(ADM)" totalsRowFunction="sum" dataDxfId="665" totalsRowDxfId="664"/>
    <tableColumn id="8" xr3:uid="{56644AFA-8C65-4ED9-959A-011B64C9E0E4}" name="Seansų sk. _x000a_(Show count)" dataDxfId="663" totalsRowDxfId="662"/>
    <tableColumn id="9" xr3:uid="{BD3A6CF9-3D5B-4707-A525-BB10219DBD6D}" name="Lankomumo vid._x000a_(Average ADM)" dataDxfId="661" totalsRowDxfId="660">
      <calculatedColumnFormula>G3/H3</calculatedColumnFormula>
    </tableColumn>
    <tableColumn id="10" xr3:uid="{E37221FD-BBF7-4ADB-9285-C88EFB13E382}" name="Kopijų sk. _x000a_(DCO count)" dataDxfId="659" totalsRowDxfId="658"/>
    <tableColumn id="11" xr3:uid="{776DF905-4D52-4E90-B5D1-CEEEDB6B092D}" name="Rodymo savaitė_x000a_(Week on screen)" dataDxfId="657" totalsRowDxfId="656"/>
    <tableColumn id="12" xr3:uid="{2738C76D-527B-47EE-AFF2-8AC52BE834AD}" name="Bendros pajamos _x000a_(Total GBO)" dataDxfId="655" totalsRowDxfId="654"/>
    <tableColumn id="13" xr3:uid="{96331656-6D7D-4282-A6A1-9C3F1ED945F9}" name="Bendras žiūrovų sk._x000a_(Total ADM)" dataDxfId="653" totalsRowDxfId="652"/>
    <tableColumn id="14" xr3:uid="{DAC75BD3-91BE-4250-8BB0-8A9739AFBD21}" name="Premjeros data _x000a_(Release date)" dataDxfId="651" totalsRowDxfId="650"/>
    <tableColumn id="15" xr3:uid="{6A800A2D-5330-4D38-8CFB-1D3C968D5FCA}" name="Platintojas _x000a_(Distributor)" totalsRowLabel=" " dataDxfId="649" totalsRowDxfId="648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2" dT="2024-10-25T13:34:38.30" personId="{5AC5A0A0-8CC0-45CD-8FA7-CED1C43FC381}" id="{7EC01B38-FD71-46A9-8A26-39E7FB7611EE}">
    <text>Weekend results</text>
  </threadedComment>
  <threadedComment ref="C34" dT="2024-10-25T12:43:31.57" personId="{5AC5A0A0-8CC0-45CD-8FA7-CED1C43FC381}" id="{1F33DE68-A700-4851-8900-54C8D4D4EC46}">
    <text>Weekend results</text>
  </threadedComment>
</ThreadedComments>
</file>

<file path=xl/threadedComments/threadedComment10.xml><?xml version="1.0" encoding="utf-8"?>
<ThreadedComments xmlns="http://schemas.microsoft.com/office/spreadsheetml/2018/threadedcomments" xmlns:x="http://schemas.openxmlformats.org/spreadsheetml/2006/main">
  <threadedComment ref="C8" dT="2024-07-05T11:27:19.33" personId="{95D04751-29A9-4A66-A4B0-927989AA827A}" id="{2D5C9912-3D08-45BA-9846-45834AA7B860}">
    <text xml:space="preserve">Weekend results
</text>
  </threadedComment>
  <threadedComment ref="C23" dT="2024-07-05T11:14:08.33" personId="{95D04751-29A9-4A66-A4B0-927989AA827A}" id="{2341B4CB-0875-4CBF-A091-B20CB9DFC185}">
    <text>Weekend results</text>
  </threadedComment>
  <threadedComment ref="C29" dT="2024-07-05T12:27:38.53" personId="{95D04751-29A9-4A66-A4B0-927989AA827A}" id="{A3C940BB-EC3D-4B2F-84D7-B53AAF3668D7}">
    <text>Weekend results</text>
  </threadedComment>
  <threadedComment ref="C30" dT="2024-07-05T12:29:54.83" personId="{95D04751-29A9-4A66-A4B0-927989AA827A}" id="{F6E31DFB-2AE4-4BCA-8219-4CDCBE0B0FEC}">
    <text xml:space="preserve">Weekend results
</text>
  </threadedComment>
</ThreadedComments>
</file>

<file path=xl/threadedComments/threadedComment11.xml><?xml version="1.0" encoding="utf-8"?>
<ThreadedComments xmlns="http://schemas.microsoft.com/office/spreadsheetml/2018/threadedcomments" xmlns:x="http://schemas.openxmlformats.org/spreadsheetml/2006/main">
  <threadedComment ref="C22" dT="2024-06-28T14:58:34.33" personId="{5AC5A0A0-8CC0-45CD-8FA7-CED1C43FC381}" id="{50136F9B-7BBD-424E-A448-46CDD1204AB4}">
    <text>Weekend results</text>
  </threadedComment>
  <threadedComment ref="C28" dT="2024-06-21T11:03:29.40" personId="{5AC5A0A0-8CC0-45CD-8FA7-CED1C43FC381}" id="{03C11742-79DC-4960-A0BC-F4380AC98957}">
    <text>Weekend results</text>
  </threadedComment>
  <threadedComment ref="C33" dT="2024-06-07T12:34:10.34" personId="{5AC5A0A0-8CC0-45CD-8FA7-CED1C43FC381}" id="{48D163DD-D170-4056-8461-55988E6F9531}">
    <text>Weekend results</text>
  </threadedComment>
  <threadedComment ref="C38" dT="2024-06-07T12:33:34.38" personId="{5AC5A0A0-8CC0-45CD-8FA7-CED1C43FC381}" id="{9A5E1098-57C4-45CE-B9A1-8FDD335FFF03}">
    <text>Weekend results</text>
  </threadedComment>
</ThreadedComments>
</file>

<file path=xl/threadedComments/threadedComment12.xml><?xml version="1.0" encoding="utf-8"?>
<ThreadedComments xmlns="http://schemas.microsoft.com/office/spreadsheetml/2018/threadedcomments" xmlns:x="http://schemas.openxmlformats.org/spreadsheetml/2006/main">
  <threadedComment ref="C21" dT="2024-06-21T11:03:14.25" personId="{5AC5A0A0-8CC0-45CD-8FA7-CED1C43FC381}" id="{FAD1DF60-A25F-41E9-ACDA-B481A3493AAD}">
    <text>Weekend results</text>
  </threadedComment>
  <threadedComment ref="C34" dT="2024-06-07T12:34:10.34" personId="{5AC5A0A0-8CC0-45CD-8FA7-CED1C43FC381}" id="{B5B339B3-7F95-414B-B07C-20D9CEE35AFC}">
    <text>Weekend results</text>
  </threadedComment>
  <threadedComment ref="C35" dT="2024-06-21T11:03:29.40" personId="{5AC5A0A0-8CC0-45CD-8FA7-CED1C43FC381}" id="{8A2C904E-423A-4F9D-A72E-578D4C41EEC7}">
    <text>Weekend results</text>
  </threadedComment>
  <threadedComment ref="C36" dT="2024-06-07T12:34:46.10" personId="{5AC5A0A0-8CC0-45CD-8FA7-CED1C43FC381}" id="{363373E1-095A-49B0-A5F5-FB6FED9A70B7}">
    <text>Weekend results</text>
  </threadedComment>
  <threadedComment ref="C40" dT="2024-06-07T12:33:34.38" personId="{5AC5A0A0-8CC0-45CD-8FA7-CED1C43FC381}" id="{01740C45-9E91-4652-BA00-358948752846}">
    <text>Weekend results</text>
  </threadedComment>
</ThreadedComments>
</file>

<file path=xl/threadedComments/threadedComment13.xml><?xml version="1.0" encoding="utf-8"?>
<ThreadedComments xmlns="http://schemas.microsoft.com/office/spreadsheetml/2018/threadedcomments" xmlns:x="http://schemas.openxmlformats.org/spreadsheetml/2006/main">
  <threadedComment ref="C17" dT="2024-06-14T10:36:45.39" personId="{5AC5A0A0-8CC0-45CD-8FA7-CED1C43FC381}" id="{A91DF280-4EA7-46B4-AB3F-0B6CE8587054}">
    <text>Weekend results</text>
  </threadedComment>
  <threadedComment ref="C24" dT="2024-06-14T10:32:04.07" personId="{5AC5A0A0-8CC0-45CD-8FA7-CED1C43FC381}" id="{F1B81F3E-426D-48DD-9BAC-E797D463DBC8}">
    <text>Weekend results</text>
  </threadedComment>
  <threadedComment ref="C27" dT="2024-06-14T10:35:31.88" personId="{5AC5A0A0-8CC0-45CD-8FA7-CED1C43FC381}" id="{E26F1309-EC62-41FB-8F7A-CF62A24EE5FC}">
    <text>Weekend results</text>
  </threadedComment>
  <threadedComment ref="C37" dT="2024-06-07T12:33:34.38" personId="{5AC5A0A0-8CC0-45CD-8FA7-CED1C43FC381}" id="{80B916DB-A986-48B1-9BFA-4BBED3CAB430}">
    <text>Weekend results</text>
  </threadedComment>
  <threadedComment ref="C40" dT="2024-06-07T12:34:46.10" personId="{5AC5A0A0-8CC0-45CD-8FA7-CED1C43FC381}" id="{BCF0D8EC-AF10-4AC2-B855-D99D02306609}">
    <text>Weekend results</text>
  </threadedComment>
  <threadedComment ref="C41" dT="2024-06-07T12:34:10.34" personId="{5AC5A0A0-8CC0-45CD-8FA7-CED1C43FC381}" id="{73E5FE32-4FC0-4E5E-944D-DB55A8F39B7F}">
    <text>Weekend results</text>
  </threadedComment>
  <threadedComment ref="C42" dT="2024-06-14T10:35:40.56" personId="{5AC5A0A0-8CC0-45CD-8FA7-CED1C43FC381}" id="{0BEEC6D6-0A97-48EE-BB6E-D63AB1A2980F}">
    <text>Weekend results</text>
  </threadedComment>
  <threadedComment ref="C45" dT="2024-06-14T10:31:27.73" personId="{5AC5A0A0-8CC0-45CD-8FA7-CED1C43FC381}" id="{79294730-DA6A-4332-9C89-9F72E7111805}">
    <text>Weekend results</text>
  </threadedComment>
  <threadedComment ref="C48" dT="2024-06-14T10:31:31.86" personId="{5AC5A0A0-8CC0-45CD-8FA7-CED1C43FC381}" id="{CD557FF3-1521-461D-85BA-E93E8D1DF570}">
    <text>Weekend results</text>
  </threadedComment>
</ThreadedComments>
</file>

<file path=xl/threadedComments/threadedComment14.xml><?xml version="1.0" encoding="utf-8"?>
<ThreadedComments xmlns="http://schemas.microsoft.com/office/spreadsheetml/2018/threadedcomments" xmlns:x="http://schemas.openxmlformats.org/spreadsheetml/2006/main">
  <threadedComment ref="C19" dT="2024-06-07T12:33:34.38" personId="{5AC5A0A0-8CC0-45CD-8FA7-CED1C43FC381}" id="{35B6F91B-1C8B-45C3-B406-12FA76F9C6BE}">
    <text>Weekend results</text>
  </threadedComment>
  <threadedComment ref="C25" dT="2024-06-07T12:34:10.34" personId="{5AC5A0A0-8CC0-45CD-8FA7-CED1C43FC381}" id="{F020B9FB-FBD9-437E-8975-92D21BB5AD09}">
    <text>Weekend results</text>
  </threadedComment>
  <threadedComment ref="C29" dT="2024-06-07T12:34:46.10" personId="{5AC5A0A0-8CC0-45CD-8FA7-CED1C43FC381}" id="{5FD9D5C2-B760-40B8-B4D0-BFF94510B54E}">
    <text>Weekend results</text>
  </threadedComment>
  <threadedComment ref="C35" dT="2024-06-07T12:35:24.60" personId="{5AC5A0A0-8CC0-45CD-8FA7-CED1C43FC381}" id="{03C8B453-1187-478C-B1AC-BC1D3122F74B}">
    <text>Weekend results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32" dT="2024-09-20T12:43:18.68" personId="{5AC5A0A0-8CC0-45CD-8FA7-CED1C43FC381}" id="{574B24CC-62F7-498E-A3E2-EE57EEBF2534}">
    <text>Weekend results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9" dT="2024-08-02T11:59:25.43" personId="{5AC5A0A0-8CC0-45CD-8FA7-CED1C43FC381}" id="{9798A831-E0B5-4533-80B1-F99D972D7916}">
    <text>Weekend results</text>
  </threadedComment>
  <threadedComment ref="C32" dT="2024-08-23T10:53:07.67" personId="{5AC5A0A0-8CC0-45CD-8FA7-CED1C43FC381}" id="{5E70F7F1-1767-4B6A-AFCA-AAC5B55D9AE9}">
    <text>Weekend results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31" dT="2024-08-30T11:43:43.13" personId="{5AC5A0A0-8CC0-45CD-8FA7-CED1C43FC381}" id="{542F5D7F-8BB2-4009-B7C2-52E7200B5489}">
    <text>Weekend results</text>
  </threadedComment>
  <threadedComment ref="C34" dT="2024-08-02T11:59:25.43" personId="{5AC5A0A0-8CC0-45CD-8FA7-CED1C43FC381}" id="{1CADBC06-2912-4D64-A315-431576F17010}">
    <text>Weekend results</text>
  </threadedComment>
  <threadedComment ref="C35" dT="2024-08-23T10:53:07.67" personId="{5AC5A0A0-8CC0-45CD-8FA7-CED1C43FC381}" id="{ADA42EF9-568D-46AF-9547-CAF847E6A977}">
    <text>Weekend results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C29" dT="2024-08-23T10:51:24.79" personId="{5AC5A0A0-8CC0-45CD-8FA7-CED1C43FC381}" id="{C1DE94BD-B9A6-443B-AFF6-BF3679732EF4}">
    <text>Weekend results</text>
  </threadedComment>
  <threadedComment ref="C31" dT="2024-08-23T10:53:07.67" personId="{5AC5A0A0-8CC0-45CD-8FA7-CED1C43FC381}" id="{E941CA3A-EA7D-4169-9821-56302DB5D76F}">
    <text>Weekend results</text>
  </threadedComment>
  <threadedComment ref="C36" dT="2024-08-02T11:59:25.43" personId="{5AC5A0A0-8CC0-45CD-8FA7-CED1C43FC381}" id="{C4636427-461B-4F3E-A97D-F6023196F619}">
    <text>Weekend results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C29" dT="2024-08-16T11:30:04.74" personId="{5AC5A0A0-8CC0-45CD-8FA7-CED1C43FC381}" id="{682F5EA6-3D97-43B6-950C-55182A792233}">
    <text>Weekend results</text>
  </threadedComment>
  <threadedComment ref="C30" dT="2024-08-02T11:59:25.43" personId="{5AC5A0A0-8CC0-45CD-8FA7-CED1C43FC381}" id="{9A587AAA-5D56-4414-A004-820B37A89CDE}">
    <text>Weekend results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C34" dT="2024-08-02T11:59:25.43" personId="{5AC5A0A0-8CC0-45CD-8FA7-CED1C43FC381}" id="{8A10CF85-5920-4B57-B0C6-1FDCB5C28B33}">
    <text>Weekend results</text>
  </threadedComment>
  <threadedComment ref="C36" dT="2024-08-09T11:53:44.23" personId="{5AC5A0A0-8CC0-45CD-8FA7-CED1C43FC381}" id="{C8A2A591-667B-43F0-91C8-77F0B590560F}">
    <text>Weekend results</text>
  </threadedComment>
  <threadedComment ref="C39" dT="2024-08-02T11:59:08.46" personId="{5AC5A0A0-8CC0-45CD-8FA7-CED1C43FC381}" id="{DF1F831A-0978-4660-A764-8215E1175554}">
    <text>Weekend results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C26" dT="2024-08-02T11:59:54.83" personId="{5AC5A0A0-8CC0-45CD-8FA7-CED1C43FC381}" id="{2320E0F0-BB03-4E0C-A822-FC36345CC17B}">
    <text>Weekend results</text>
  </threadedComment>
  <threadedComment ref="C31" dT="2024-08-02T11:59:08.46" personId="{5AC5A0A0-8CC0-45CD-8FA7-CED1C43FC381}" id="{2E14C2C3-6EE3-4BAC-8DE9-32BCCBB89287}">
    <text>Weekend results</text>
  </threadedComment>
  <threadedComment ref="C34" dT="2024-08-02T11:59:25.43" personId="{5AC5A0A0-8CC0-45CD-8FA7-CED1C43FC381}" id="{B00CED23-333A-4893-AB8E-3F765944E2AA}">
    <text>Weekend results</text>
  </threadedComment>
</ThreadedComments>
</file>

<file path=xl/threadedComments/threadedComment9.xml><?xml version="1.0" encoding="utf-8"?>
<ThreadedComments xmlns="http://schemas.microsoft.com/office/spreadsheetml/2018/threadedcomments" xmlns:x="http://schemas.openxmlformats.org/spreadsheetml/2006/main">
  <threadedComment ref="C23" dT="2024-07-05T12:29:54.83" personId="{95D04751-29A9-4A66-A4B0-927989AA827A}" id="{C9B21857-97ED-4D48-A748-380BBC6C3AE4}">
    <text xml:space="preserve">Weekend results
</text>
  </threadedComment>
  <threadedComment ref="C25" dT="2024-07-05T12:27:38.53" personId="{95D04751-29A9-4A66-A4B0-927989AA827A}" id="{2B37BC00-389A-4B3F-A61A-48B07BD8AEE4}">
    <text>Weekend results</text>
  </threadedComment>
  <threadedComment ref="C26" dT="2024-07-12T12:30:15.84" personId="{95D04751-29A9-4A66-A4B0-927989AA827A}" id="{26C8960B-F834-4A39-9449-C57D6A82C1FD}">
    <text xml:space="preserve">Weekend result
</text>
  </threadedComment>
  <threadedComment ref="C27" dT="2024-07-12T11:34:09.87" personId="{95D04751-29A9-4A66-A4B0-927989AA827A}" id="{0EE5858B-D9A4-44B4-951B-BD49A8312D6F}">
    <text xml:space="preserve">Weekend result
</text>
  </threadedComment>
  <threadedComment ref="C28" dT="2024-07-12T12:22:44.27" personId="{95D04751-29A9-4A66-A4B0-927989AA827A}" id="{A6EA8AD3-94F4-4334-AE55-DC9FD0D37E6B}">
    <text xml:space="preserve">Weekend result
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Relationship Id="rId5" Type="http://schemas.microsoft.com/office/2017/10/relationships/threadedComment" Target="../threadedComments/threadedComment5.xml"/><Relationship Id="rId4" Type="http://schemas.openxmlformats.org/officeDocument/2006/relationships/comments" Target="../comments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Relationship Id="rId5" Type="http://schemas.microsoft.com/office/2017/10/relationships/threadedComment" Target="../threadedComments/threadedComment6.xml"/><Relationship Id="rId4" Type="http://schemas.openxmlformats.org/officeDocument/2006/relationships/comments" Target="../comments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Relationship Id="rId5" Type="http://schemas.microsoft.com/office/2017/10/relationships/threadedComment" Target="../threadedComments/threadedComment7.xml"/><Relationship Id="rId4" Type="http://schemas.openxmlformats.org/officeDocument/2006/relationships/comments" Target="../comments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3.bin"/><Relationship Id="rId5" Type="http://schemas.microsoft.com/office/2017/10/relationships/threadedComment" Target="../threadedComments/threadedComment8.xml"/><Relationship Id="rId4" Type="http://schemas.openxmlformats.org/officeDocument/2006/relationships/comments" Target="../comments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6.bin"/><Relationship Id="rId5" Type="http://schemas.microsoft.com/office/2017/10/relationships/threadedComment" Target="../threadedComments/threadedComment9.xml"/><Relationship Id="rId4" Type="http://schemas.openxmlformats.org/officeDocument/2006/relationships/comments" Target="../comments9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7.bin"/><Relationship Id="rId5" Type="http://schemas.microsoft.com/office/2017/10/relationships/threadedComment" Target="../threadedComments/threadedComment10.xml"/><Relationship Id="rId4" Type="http://schemas.openxmlformats.org/officeDocument/2006/relationships/comments" Target="../comments10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8.bin"/><Relationship Id="rId5" Type="http://schemas.microsoft.com/office/2017/10/relationships/threadedComment" Target="../threadedComments/threadedComment11.xml"/><Relationship Id="rId4" Type="http://schemas.openxmlformats.org/officeDocument/2006/relationships/comments" Target="../comments11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9.bin"/><Relationship Id="rId5" Type="http://schemas.microsoft.com/office/2017/10/relationships/threadedComment" Target="../threadedComments/threadedComment12.xml"/><Relationship Id="rId4" Type="http://schemas.openxmlformats.org/officeDocument/2006/relationships/comments" Target="../comments12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20.bin"/><Relationship Id="rId5" Type="http://schemas.microsoft.com/office/2017/10/relationships/threadedComment" Target="../threadedComments/threadedComment13.xml"/><Relationship Id="rId4" Type="http://schemas.openxmlformats.org/officeDocument/2006/relationships/comments" Target="../comments13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7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21.bin"/><Relationship Id="rId5" Type="http://schemas.microsoft.com/office/2017/10/relationships/threadedComment" Target="../threadedComments/threadedComment14.xml"/><Relationship Id="rId4" Type="http://schemas.openxmlformats.org/officeDocument/2006/relationships/comments" Target="../comments14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7.xml"/><Relationship Id="rId1" Type="http://schemas.openxmlformats.org/officeDocument/2006/relationships/vmlDrawing" Target="../drawings/vmlDrawing1.vml"/><Relationship Id="rId4" Type="http://schemas.microsoft.com/office/2017/10/relationships/threadedComment" Target="../threadedComments/threadedComment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AE446-9FF7-4ACB-865D-A2FFEEA82D24}">
  <dimension ref="A1:R34"/>
  <sheetViews>
    <sheetView tabSelected="1" zoomScale="60" zoomScaleNormal="60" workbookViewId="0">
      <selection activeCell="H21" sqref="H21"/>
    </sheetView>
  </sheetViews>
  <sheetFormatPr defaultColWidth="0" defaultRowHeight="0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3" t="s">
        <v>368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21" t="s">
        <v>17</v>
      </c>
      <c r="C3" s="25" t="s">
        <v>361</v>
      </c>
      <c r="D3" s="19">
        <v>295392.94</v>
      </c>
      <c r="E3" s="28" t="s">
        <v>15</v>
      </c>
      <c r="F3" s="20" t="s">
        <v>15</v>
      </c>
      <c r="G3" s="21">
        <v>48291</v>
      </c>
      <c r="H3" s="21">
        <v>656</v>
      </c>
      <c r="I3" s="22">
        <f>G3/H3</f>
        <v>73.614329268292678</v>
      </c>
      <c r="J3" s="22">
        <v>34</v>
      </c>
      <c r="K3" s="21">
        <v>1</v>
      </c>
      <c r="L3" s="19">
        <v>305663.43</v>
      </c>
      <c r="M3" s="21">
        <v>50155</v>
      </c>
      <c r="N3" s="23">
        <v>45625</v>
      </c>
      <c r="O3" s="30" t="s">
        <v>18</v>
      </c>
    </row>
    <row r="4" spans="1:15" s="69" customFormat="1" ht="24.95" customHeight="1">
      <c r="A4" s="17">
        <v>2</v>
      </c>
      <c r="B4" s="21">
        <v>1</v>
      </c>
      <c r="C4" s="25" t="s">
        <v>340</v>
      </c>
      <c r="D4" s="19">
        <v>94757.22</v>
      </c>
      <c r="E4" s="19">
        <v>169605.08</v>
      </c>
      <c r="F4" s="20">
        <f>(D4-E4)/E4</f>
        <v>-0.44130671086031142</v>
      </c>
      <c r="G4" s="21">
        <v>11574</v>
      </c>
      <c r="H4" s="21">
        <v>312</v>
      </c>
      <c r="I4" s="22">
        <f>G4/H4</f>
        <v>37.096153846153847</v>
      </c>
      <c r="J4" s="22">
        <v>21</v>
      </c>
      <c r="K4" s="21">
        <v>3</v>
      </c>
      <c r="L4" s="19">
        <v>530767.43999999994</v>
      </c>
      <c r="M4" s="21">
        <v>63615</v>
      </c>
      <c r="N4" s="23">
        <v>45611</v>
      </c>
      <c r="O4" s="30" t="s">
        <v>259</v>
      </c>
    </row>
    <row r="5" spans="1:15" s="69" customFormat="1" ht="24.95" customHeight="1">
      <c r="A5" s="17">
        <v>3</v>
      </c>
      <c r="B5" s="21">
        <v>2</v>
      </c>
      <c r="C5" s="25" t="s">
        <v>328</v>
      </c>
      <c r="D5" s="19">
        <v>37473</v>
      </c>
      <c r="E5" s="19">
        <v>65683</v>
      </c>
      <c r="F5" s="20">
        <f>(D5-E5)/E5</f>
        <v>-0.42948708189333618</v>
      </c>
      <c r="G5" s="21">
        <v>5140</v>
      </c>
      <c r="H5" s="19" t="s">
        <v>15</v>
      </c>
      <c r="I5" s="19" t="s">
        <v>15</v>
      </c>
      <c r="J5" s="19" t="s">
        <v>15</v>
      </c>
      <c r="K5" s="22">
        <v>5</v>
      </c>
      <c r="L5" s="19">
        <v>504293</v>
      </c>
      <c r="M5" s="21">
        <v>71041</v>
      </c>
      <c r="N5" s="23">
        <v>45597</v>
      </c>
      <c r="O5" s="30" t="s">
        <v>329</v>
      </c>
    </row>
    <row r="6" spans="1:15" s="69" customFormat="1" ht="24.95" customHeight="1">
      <c r="A6" s="17">
        <v>4</v>
      </c>
      <c r="B6" s="21" t="s">
        <v>17</v>
      </c>
      <c r="C6" s="18" t="s">
        <v>360</v>
      </c>
      <c r="D6" s="28">
        <v>33519.230000000003</v>
      </c>
      <c r="E6" s="19" t="s">
        <v>15</v>
      </c>
      <c r="F6" s="19" t="s">
        <v>15</v>
      </c>
      <c r="G6" s="29">
        <v>5240</v>
      </c>
      <c r="H6" s="21">
        <v>288</v>
      </c>
      <c r="I6" s="22">
        <f>G6/H6</f>
        <v>18.194444444444443</v>
      </c>
      <c r="J6" s="22">
        <v>20</v>
      </c>
      <c r="K6" s="21">
        <v>1</v>
      </c>
      <c r="L6" s="28">
        <v>38927.32</v>
      </c>
      <c r="M6" s="29">
        <v>5957</v>
      </c>
      <c r="N6" s="23">
        <v>45625</v>
      </c>
      <c r="O6" s="30" t="s">
        <v>11</v>
      </c>
    </row>
    <row r="7" spans="1:15" s="69" customFormat="1" ht="24.95" customHeight="1">
      <c r="A7" s="17">
        <v>5</v>
      </c>
      <c r="B7" s="21">
        <v>4</v>
      </c>
      <c r="C7" s="25" t="s">
        <v>333</v>
      </c>
      <c r="D7" s="19">
        <v>18113.89</v>
      </c>
      <c r="E7" s="19">
        <v>30075.43</v>
      </c>
      <c r="F7" s="20">
        <f t="shared" ref="F7:F13" si="0">(D7-E7)/E7</f>
        <v>-0.39771800436435989</v>
      </c>
      <c r="G7" s="21">
        <v>2728</v>
      </c>
      <c r="H7" s="21">
        <v>121</v>
      </c>
      <c r="I7" s="22">
        <f>G7/H7</f>
        <v>22.545454545454547</v>
      </c>
      <c r="J7" s="22">
        <v>10</v>
      </c>
      <c r="K7" s="21">
        <v>4</v>
      </c>
      <c r="L7" s="19">
        <v>124665.32</v>
      </c>
      <c r="M7" s="21">
        <v>18550</v>
      </c>
      <c r="N7" s="23">
        <v>45604</v>
      </c>
      <c r="O7" s="30" t="s">
        <v>12</v>
      </c>
    </row>
    <row r="8" spans="1:15" s="69" customFormat="1" ht="24.95" customHeight="1">
      <c r="A8" s="17">
        <v>6</v>
      </c>
      <c r="B8" s="21">
        <v>3</v>
      </c>
      <c r="C8" s="18" t="s">
        <v>351</v>
      </c>
      <c r="D8" s="28">
        <v>17667.28</v>
      </c>
      <c r="E8" s="28">
        <v>33398.839999999997</v>
      </c>
      <c r="F8" s="20">
        <f t="shared" si="0"/>
        <v>-0.47102114923751842</v>
      </c>
      <c r="G8" s="29">
        <v>2576</v>
      </c>
      <c r="H8" s="21">
        <v>93</v>
      </c>
      <c r="I8" s="22">
        <f>G8/H8</f>
        <v>27.698924731182796</v>
      </c>
      <c r="J8" s="22">
        <v>12</v>
      </c>
      <c r="K8" s="21">
        <v>2</v>
      </c>
      <c r="L8" s="28">
        <v>51066.119999999995</v>
      </c>
      <c r="M8" s="29">
        <v>7354</v>
      </c>
      <c r="N8" s="23">
        <v>45618</v>
      </c>
      <c r="O8" s="30" t="s">
        <v>14</v>
      </c>
    </row>
    <row r="9" spans="1:15" s="69" customFormat="1" ht="24.95" customHeight="1">
      <c r="A9" s="17">
        <v>7</v>
      </c>
      <c r="B9" s="21">
        <v>6</v>
      </c>
      <c r="C9" s="25" t="s">
        <v>343</v>
      </c>
      <c r="D9" s="19">
        <v>8378</v>
      </c>
      <c r="E9" s="28">
        <v>23192</v>
      </c>
      <c r="F9" s="20">
        <f t="shared" si="0"/>
        <v>-0.6387547430148327</v>
      </c>
      <c r="G9" s="21">
        <v>1493</v>
      </c>
      <c r="H9" s="19" t="s">
        <v>15</v>
      </c>
      <c r="I9" s="19" t="s">
        <v>15</v>
      </c>
      <c r="J9" s="22">
        <v>14</v>
      </c>
      <c r="K9" s="21">
        <v>4</v>
      </c>
      <c r="L9" s="19">
        <v>83809</v>
      </c>
      <c r="M9" s="21">
        <v>15605</v>
      </c>
      <c r="N9" s="23">
        <v>45604</v>
      </c>
      <c r="O9" s="30" t="s">
        <v>13</v>
      </c>
    </row>
    <row r="10" spans="1:15" s="69" customFormat="1" ht="24.95" customHeight="1">
      <c r="A10" s="17">
        <v>8</v>
      </c>
      <c r="B10" s="21">
        <v>5</v>
      </c>
      <c r="C10" s="18" t="s">
        <v>310</v>
      </c>
      <c r="D10" s="28">
        <v>7464.01</v>
      </c>
      <c r="E10" s="19">
        <v>27328.26</v>
      </c>
      <c r="F10" s="20">
        <f t="shared" si="0"/>
        <v>-0.72687576889271399</v>
      </c>
      <c r="G10" s="29">
        <v>1326</v>
      </c>
      <c r="H10" s="21">
        <v>117</v>
      </c>
      <c r="I10" s="22">
        <f t="shared" ref="I10:I27" si="1">G10/H10</f>
        <v>11.333333333333334</v>
      </c>
      <c r="J10" s="22">
        <v>16</v>
      </c>
      <c r="K10" s="21">
        <v>6</v>
      </c>
      <c r="L10" s="28">
        <v>272372.38</v>
      </c>
      <c r="M10" s="29">
        <v>49099</v>
      </c>
      <c r="N10" s="23">
        <v>45590</v>
      </c>
      <c r="O10" s="30" t="s">
        <v>63</v>
      </c>
    </row>
    <row r="11" spans="1:15" s="69" customFormat="1" ht="24.95" customHeight="1">
      <c r="A11" s="17">
        <v>9</v>
      </c>
      <c r="B11" s="21">
        <v>7</v>
      </c>
      <c r="C11" s="18" t="s">
        <v>305</v>
      </c>
      <c r="D11" s="28">
        <v>3923.16</v>
      </c>
      <c r="E11" s="19">
        <v>13894.05</v>
      </c>
      <c r="F11" s="20">
        <f t="shared" si="0"/>
        <v>-0.71763740593995273</v>
      </c>
      <c r="G11" s="29">
        <v>575</v>
      </c>
      <c r="H11" s="21">
        <v>34</v>
      </c>
      <c r="I11" s="22">
        <f t="shared" si="1"/>
        <v>16.911764705882351</v>
      </c>
      <c r="J11" s="22">
        <v>5</v>
      </c>
      <c r="K11" s="21">
        <v>6</v>
      </c>
      <c r="L11" s="28">
        <v>433751.71</v>
      </c>
      <c r="M11" s="29">
        <v>55492</v>
      </c>
      <c r="N11" s="23">
        <v>45590</v>
      </c>
      <c r="O11" s="30" t="s">
        <v>61</v>
      </c>
    </row>
    <row r="12" spans="1:15" s="69" customFormat="1" ht="24.95" customHeight="1">
      <c r="A12" s="17">
        <v>10</v>
      </c>
      <c r="B12" s="21">
        <v>11</v>
      </c>
      <c r="C12" s="25" t="s">
        <v>352</v>
      </c>
      <c r="D12" s="19">
        <v>3841.3000000000015</v>
      </c>
      <c r="E12" s="28">
        <v>6685.05</v>
      </c>
      <c r="F12" s="20">
        <f t="shared" si="0"/>
        <v>-0.42538948848550101</v>
      </c>
      <c r="G12" s="21">
        <v>532</v>
      </c>
      <c r="H12" s="21">
        <v>26</v>
      </c>
      <c r="I12" s="22">
        <f t="shared" si="1"/>
        <v>20.46153846153846</v>
      </c>
      <c r="J12" s="22">
        <v>5</v>
      </c>
      <c r="K12" s="21">
        <v>3</v>
      </c>
      <c r="L12" s="19">
        <v>19703.439999999999</v>
      </c>
      <c r="M12" s="21">
        <v>2766</v>
      </c>
      <c r="N12" s="23">
        <v>45611</v>
      </c>
      <c r="O12" s="30" t="s">
        <v>82</v>
      </c>
    </row>
    <row r="13" spans="1:15" s="69" customFormat="1" ht="24.95" customHeight="1">
      <c r="A13" s="17">
        <v>11</v>
      </c>
      <c r="B13" s="21">
        <v>9</v>
      </c>
      <c r="C13" s="25" t="s">
        <v>261</v>
      </c>
      <c r="D13" s="19">
        <v>3186.45</v>
      </c>
      <c r="E13" s="19">
        <v>9206.66</v>
      </c>
      <c r="F13" s="20">
        <f t="shared" si="0"/>
        <v>-0.65389728739847031</v>
      </c>
      <c r="G13" s="21">
        <v>556</v>
      </c>
      <c r="H13" s="21">
        <v>48</v>
      </c>
      <c r="I13" s="22">
        <f t="shared" si="1"/>
        <v>11.583333333333334</v>
      </c>
      <c r="J13" s="22">
        <v>5</v>
      </c>
      <c r="K13" s="22">
        <v>10</v>
      </c>
      <c r="L13" s="19">
        <v>285589.03000000003</v>
      </c>
      <c r="M13" s="21">
        <v>52268</v>
      </c>
      <c r="N13" s="23">
        <v>45562</v>
      </c>
      <c r="O13" s="53" t="s">
        <v>11</v>
      </c>
    </row>
    <row r="14" spans="1:15" s="69" customFormat="1" ht="24.95" customHeight="1">
      <c r="A14" s="17">
        <v>12</v>
      </c>
      <c r="B14" s="21" t="s">
        <v>23</v>
      </c>
      <c r="C14" s="25" t="s">
        <v>365</v>
      </c>
      <c r="D14" s="19">
        <v>2973.67</v>
      </c>
      <c r="E14" s="28" t="s">
        <v>15</v>
      </c>
      <c r="F14" s="20" t="s">
        <v>15</v>
      </c>
      <c r="G14" s="21">
        <v>486</v>
      </c>
      <c r="H14" s="21">
        <v>13</v>
      </c>
      <c r="I14" s="22">
        <f t="shared" si="1"/>
        <v>37.384615384615387</v>
      </c>
      <c r="J14" s="22">
        <v>11</v>
      </c>
      <c r="K14" s="21">
        <v>0</v>
      </c>
      <c r="L14" s="19">
        <v>2973.67</v>
      </c>
      <c r="M14" s="21">
        <v>486</v>
      </c>
      <c r="N14" s="23" t="s">
        <v>24</v>
      </c>
      <c r="O14" s="30" t="s">
        <v>63</v>
      </c>
    </row>
    <row r="15" spans="1:15" s="69" customFormat="1" ht="24.95" customHeight="1">
      <c r="A15" s="17">
        <v>13</v>
      </c>
      <c r="B15" s="21">
        <v>16</v>
      </c>
      <c r="C15" s="18" t="s">
        <v>316</v>
      </c>
      <c r="D15" s="28">
        <v>2136</v>
      </c>
      <c r="E15" s="19">
        <v>3080.34</v>
      </c>
      <c r="F15" s="20">
        <f>(D15-E15)/E15</f>
        <v>-0.30657005395508291</v>
      </c>
      <c r="G15" s="29">
        <v>374</v>
      </c>
      <c r="H15" s="21">
        <v>15</v>
      </c>
      <c r="I15" s="22">
        <f t="shared" si="1"/>
        <v>24.933333333333334</v>
      </c>
      <c r="J15" s="22">
        <v>5</v>
      </c>
      <c r="K15" s="21">
        <v>5</v>
      </c>
      <c r="L15" s="28">
        <v>59358.7</v>
      </c>
      <c r="M15" s="29">
        <v>8853</v>
      </c>
      <c r="N15" s="23">
        <v>45597</v>
      </c>
      <c r="O15" s="30" t="s">
        <v>11</v>
      </c>
    </row>
    <row r="16" spans="1:15" s="69" customFormat="1" ht="24.95" customHeight="1">
      <c r="A16" s="17">
        <v>14</v>
      </c>
      <c r="B16" s="21" t="s">
        <v>23</v>
      </c>
      <c r="C16" s="25" t="s">
        <v>366</v>
      </c>
      <c r="D16" s="19">
        <v>1581.45</v>
      </c>
      <c r="E16" s="28" t="s">
        <v>15</v>
      </c>
      <c r="F16" s="20" t="s">
        <v>15</v>
      </c>
      <c r="G16" s="21">
        <v>217</v>
      </c>
      <c r="H16" s="21">
        <v>9</v>
      </c>
      <c r="I16" s="22">
        <f t="shared" si="1"/>
        <v>24.111111111111111</v>
      </c>
      <c r="J16" s="22">
        <v>9</v>
      </c>
      <c r="K16" s="21">
        <v>0</v>
      </c>
      <c r="L16" s="19">
        <v>1581.45</v>
      </c>
      <c r="M16" s="21">
        <v>217</v>
      </c>
      <c r="N16" s="23" t="s">
        <v>24</v>
      </c>
      <c r="O16" s="30" t="s">
        <v>12</v>
      </c>
    </row>
    <row r="17" spans="1:18" s="69" customFormat="1" ht="24.95" customHeight="1">
      <c r="A17" s="17">
        <v>15</v>
      </c>
      <c r="B17" s="21">
        <v>14</v>
      </c>
      <c r="C17" s="18" t="s">
        <v>309</v>
      </c>
      <c r="D17" s="28">
        <v>1478.24</v>
      </c>
      <c r="E17" s="19">
        <v>4093.44</v>
      </c>
      <c r="F17" s="20">
        <f t="shared" ref="F17:F22" si="2">(D17-E17)/E17</f>
        <v>-0.63887585991244522</v>
      </c>
      <c r="G17" s="29">
        <v>251</v>
      </c>
      <c r="H17" s="21">
        <v>10</v>
      </c>
      <c r="I17" s="22">
        <f t="shared" si="1"/>
        <v>25.1</v>
      </c>
      <c r="J17" s="22">
        <v>3</v>
      </c>
      <c r="K17" s="21">
        <v>6</v>
      </c>
      <c r="L17" s="28">
        <v>91804.800000000003</v>
      </c>
      <c r="M17" s="29">
        <v>13552</v>
      </c>
      <c r="N17" s="23">
        <v>45590</v>
      </c>
      <c r="O17" s="30" t="s">
        <v>14</v>
      </c>
    </row>
    <row r="18" spans="1:18" s="69" customFormat="1" ht="24.95" customHeight="1">
      <c r="A18" s="17">
        <v>16</v>
      </c>
      <c r="B18" s="21">
        <v>10</v>
      </c>
      <c r="C18" s="25" t="s">
        <v>357</v>
      </c>
      <c r="D18" s="19">
        <v>1457.0300000000002</v>
      </c>
      <c r="E18" s="19">
        <v>6955.62</v>
      </c>
      <c r="F18" s="20">
        <f t="shared" si="2"/>
        <v>-0.79052478427516171</v>
      </c>
      <c r="G18" s="21">
        <v>247</v>
      </c>
      <c r="H18" s="21">
        <v>14</v>
      </c>
      <c r="I18" s="22">
        <f t="shared" si="1"/>
        <v>17.642857142857142</v>
      </c>
      <c r="J18" s="22">
        <v>5</v>
      </c>
      <c r="K18" s="22">
        <v>2</v>
      </c>
      <c r="L18" s="19">
        <v>8412.6500000000015</v>
      </c>
      <c r="M18" s="21">
        <v>1524</v>
      </c>
      <c r="N18" s="23">
        <v>45618</v>
      </c>
      <c r="O18" s="30" t="s">
        <v>82</v>
      </c>
    </row>
    <row r="19" spans="1:18" s="69" customFormat="1" ht="24.95" customHeight="1">
      <c r="A19" s="17">
        <v>17</v>
      </c>
      <c r="B19" s="21">
        <v>15</v>
      </c>
      <c r="C19" s="25" t="s">
        <v>358</v>
      </c>
      <c r="D19" s="19">
        <v>1190.3000000000002</v>
      </c>
      <c r="E19" s="19">
        <v>3531.1099999999997</v>
      </c>
      <c r="F19" s="20">
        <f t="shared" si="2"/>
        <v>-0.66291052955019802</v>
      </c>
      <c r="G19" s="21">
        <v>196</v>
      </c>
      <c r="H19" s="21">
        <v>10</v>
      </c>
      <c r="I19" s="22">
        <f t="shared" si="1"/>
        <v>19.600000000000001</v>
      </c>
      <c r="J19" s="22">
        <v>6</v>
      </c>
      <c r="K19" s="22">
        <v>2</v>
      </c>
      <c r="L19" s="19">
        <v>4721.41</v>
      </c>
      <c r="M19" s="21">
        <v>752</v>
      </c>
      <c r="N19" s="23">
        <v>45618</v>
      </c>
      <c r="O19" s="30" t="s">
        <v>82</v>
      </c>
    </row>
    <row r="20" spans="1:18" s="69" customFormat="1" ht="24.95" customHeight="1">
      <c r="A20" s="17">
        <v>18</v>
      </c>
      <c r="B20" s="21">
        <v>20</v>
      </c>
      <c r="C20" s="18" t="s">
        <v>240</v>
      </c>
      <c r="D20" s="28">
        <v>778.3</v>
      </c>
      <c r="E20" s="28">
        <v>794.4</v>
      </c>
      <c r="F20" s="20">
        <f t="shared" si="2"/>
        <v>-2.0266868076535778E-2</v>
      </c>
      <c r="G20" s="29">
        <v>98</v>
      </c>
      <c r="H20" s="21">
        <v>7</v>
      </c>
      <c r="I20" s="22">
        <f t="shared" si="1"/>
        <v>14</v>
      </c>
      <c r="J20" s="22">
        <v>1</v>
      </c>
      <c r="K20" s="21">
        <v>12</v>
      </c>
      <c r="L20" s="28">
        <v>117657.03</v>
      </c>
      <c r="M20" s="29">
        <v>17707</v>
      </c>
      <c r="N20" s="23">
        <v>45548</v>
      </c>
      <c r="O20" s="30" t="s">
        <v>11</v>
      </c>
    </row>
    <row r="21" spans="1:18" s="69" customFormat="1" ht="24.95" customHeight="1">
      <c r="A21" s="17">
        <v>19</v>
      </c>
      <c r="B21" s="21">
        <v>18</v>
      </c>
      <c r="C21" s="25" t="s">
        <v>268</v>
      </c>
      <c r="D21" s="19">
        <v>777.18</v>
      </c>
      <c r="E21" s="19">
        <v>2786.96</v>
      </c>
      <c r="F21" s="20">
        <f t="shared" si="2"/>
        <v>-0.72113700950139226</v>
      </c>
      <c r="G21" s="21">
        <v>116</v>
      </c>
      <c r="H21" s="21">
        <v>5</v>
      </c>
      <c r="I21" s="22">
        <f t="shared" si="1"/>
        <v>23.2</v>
      </c>
      <c r="J21" s="22">
        <v>3</v>
      </c>
      <c r="K21" s="22">
        <v>10</v>
      </c>
      <c r="L21" s="19">
        <v>128116.20000000003</v>
      </c>
      <c r="M21" s="21">
        <v>18982</v>
      </c>
      <c r="N21" s="23">
        <v>45562</v>
      </c>
      <c r="O21" s="53" t="s">
        <v>14</v>
      </c>
    </row>
    <row r="22" spans="1:18" s="69" customFormat="1" ht="24.95" customHeight="1">
      <c r="A22" s="17">
        <v>20</v>
      </c>
      <c r="B22" s="21">
        <v>12</v>
      </c>
      <c r="C22" s="18" t="s">
        <v>337</v>
      </c>
      <c r="D22" s="28">
        <v>634.97</v>
      </c>
      <c r="E22" s="19">
        <v>5836.72</v>
      </c>
      <c r="F22" s="20">
        <f t="shared" si="2"/>
        <v>-0.89121115969242992</v>
      </c>
      <c r="G22" s="29">
        <v>113</v>
      </c>
      <c r="H22" s="21">
        <v>12</v>
      </c>
      <c r="I22" s="22">
        <f t="shared" si="1"/>
        <v>9.4166666666666661</v>
      </c>
      <c r="J22" s="22">
        <v>4</v>
      </c>
      <c r="K22" s="21">
        <v>3</v>
      </c>
      <c r="L22" s="28">
        <v>22047.94</v>
      </c>
      <c r="M22" s="29">
        <v>3988</v>
      </c>
      <c r="N22" s="23">
        <v>45611</v>
      </c>
      <c r="O22" s="30" t="s">
        <v>11</v>
      </c>
    </row>
    <row r="23" spans="1:18" s="69" customFormat="1" ht="24.95" customHeight="1">
      <c r="A23" s="17">
        <v>21</v>
      </c>
      <c r="B23" s="21" t="s">
        <v>17</v>
      </c>
      <c r="C23" s="25" t="s">
        <v>364</v>
      </c>
      <c r="D23" s="19">
        <v>633</v>
      </c>
      <c r="E23" s="28" t="s">
        <v>15</v>
      </c>
      <c r="F23" s="20" t="s">
        <v>15</v>
      </c>
      <c r="G23" s="21">
        <v>127</v>
      </c>
      <c r="H23" s="21">
        <v>17</v>
      </c>
      <c r="I23" s="22">
        <f t="shared" si="1"/>
        <v>7.4705882352941178</v>
      </c>
      <c r="J23" s="22">
        <v>5</v>
      </c>
      <c r="K23" s="21">
        <v>1</v>
      </c>
      <c r="L23" s="19">
        <v>633</v>
      </c>
      <c r="M23" s="21">
        <v>127</v>
      </c>
      <c r="N23" s="23">
        <v>45625</v>
      </c>
      <c r="O23" s="30" t="s">
        <v>217</v>
      </c>
    </row>
    <row r="24" spans="1:18" s="69" customFormat="1" ht="24.95" customHeight="1">
      <c r="A24" s="17">
        <v>22</v>
      </c>
      <c r="B24" s="21">
        <v>22</v>
      </c>
      <c r="C24" s="18" t="s">
        <v>292</v>
      </c>
      <c r="D24" s="28">
        <v>512</v>
      </c>
      <c r="E24" s="19">
        <v>572.70000000000005</v>
      </c>
      <c r="F24" s="20">
        <f>(D24-E24)/E24</f>
        <v>-0.10598917408765504</v>
      </c>
      <c r="G24" s="29">
        <v>66</v>
      </c>
      <c r="H24" s="21">
        <v>2</v>
      </c>
      <c r="I24" s="22">
        <f t="shared" si="1"/>
        <v>33</v>
      </c>
      <c r="J24" s="22">
        <v>1</v>
      </c>
      <c r="K24" s="21">
        <v>7</v>
      </c>
      <c r="L24" s="28">
        <v>169639.87</v>
      </c>
      <c r="M24" s="29">
        <v>23169</v>
      </c>
      <c r="N24" s="23">
        <v>45583</v>
      </c>
      <c r="O24" s="30" t="s">
        <v>259</v>
      </c>
    </row>
    <row r="25" spans="1:18" s="69" customFormat="1" ht="24.95" customHeight="1">
      <c r="A25" s="17">
        <v>23</v>
      </c>
      <c r="B25" s="21">
        <v>23</v>
      </c>
      <c r="C25" s="18" t="s">
        <v>315</v>
      </c>
      <c r="D25" s="28">
        <v>253.5</v>
      </c>
      <c r="E25" s="28">
        <v>450</v>
      </c>
      <c r="F25" s="20">
        <f>(D25-E25)/E25</f>
        <v>-0.43666666666666665</v>
      </c>
      <c r="G25" s="29">
        <v>33</v>
      </c>
      <c r="H25" s="21">
        <v>2</v>
      </c>
      <c r="I25" s="22">
        <f t="shared" si="1"/>
        <v>16.5</v>
      </c>
      <c r="J25" s="22">
        <v>1</v>
      </c>
      <c r="K25" s="21">
        <v>4</v>
      </c>
      <c r="L25" s="28">
        <v>24861.85</v>
      </c>
      <c r="M25" s="29">
        <v>3524</v>
      </c>
      <c r="N25" s="23">
        <v>45604</v>
      </c>
      <c r="O25" s="30" t="s">
        <v>11</v>
      </c>
    </row>
    <row r="26" spans="1:18" s="69" customFormat="1" ht="24.95" customHeight="1">
      <c r="A26" s="17">
        <v>24</v>
      </c>
      <c r="B26" s="21" t="s">
        <v>15</v>
      </c>
      <c r="C26" s="25" t="s">
        <v>303</v>
      </c>
      <c r="D26" s="19">
        <v>218</v>
      </c>
      <c r="E26" s="28" t="s">
        <v>15</v>
      </c>
      <c r="F26" s="20" t="s">
        <v>15</v>
      </c>
      <c r="G26" s="21">
        <v>37</v>
      </c>
      <c r="H26" s="21">
        <v>2</v>
      </c>
      <c r="I26" s="22">
        <f t="shared" si="1"/>
        <v>18.5</v>
      </c>
      <c r="J26" s="22">
        <v>1</v>
      </c>
      <c r="K26" s="21" t="s">
        <v>15</v>
      </c>
      <c r="L26" s="19">
        <v>4673.1000000000004</v>
      </c>
      <c r="M26" s="21">
        <v>791</v>
      </c>
      <c r="N26" s="23">
        <v>45583</v>
      </c>
      <c r="O26" s="30" t="s">
        <v>25</v>
      </c>
    </row>
    <row r="27" spans="1:18" s="69" customFormat="1" ht="24.95" customHeight="1">
      <c r="A27" s="17">
        <v>25</v>
      </c>
      <c r="B27" s="21">
        <v>19</v>
      </c>
      <c r="C27" s="25" t="s">
        <v>353</v>
      </c>
      <c r="D27" s="19">
        <v>188</v>
      </c>
      <c r="E27" s="28">
        <v>1015</v>
      </c>
      <c r="F27" s="20">
        <f t="shared" ref="F27:F33" si="3">(D27-E27)/E27</f>
        <v>-0.81477832512315274</v>
      </c>
      <c r="G27" s="21">
        <v>38</v>
      </c>
      <c r="H27" s="21">
        <v>4</v>
      </c>
      <c r="I27" s="22">
        <f t="shared" si="1"/>
        <v>9.5</v>
      </c>
      <c r="J27" s="22">
        <v>2</v>
      </c>
      <c r="K27" s="20" t="s">
        <v>15</v>
      </c>
      <c r="L27" s="19">
        <v>1952</v>
      </c>
      <c r="M27" s="21">
        <v>366</v>
      </c>
      <c r="N27" s="23">
        <v>45576</v>
      </c>
      <c r="O27" s="30" t="s">
        <v>82</v>
      </c>
    </row>
    <row r="28" spans="1:18" s="69" customFormat="1" ht="24.95" customHeight="1">
      <c r="A28" s="17">
        <v>26</v>
      </c>
      <c r="B28" s="21">
        <v>34</v>
      </c>
      <c r="C28" s="18" t="s">
        <v>282</v>
      </c>
      <c r="D28" s="28">
        <v>150</v>
      </c>
      <c r="E28" s="19">
        <v>25</v>
      </c>
      <c r="F28" s="20">
        <f t="shared" si="3"/>
        <v>5</v>
      </c>
      <c r="G28" s="29">
        <v>30</v>
      </c>
      <c r="H28" s="20" t="s">
        <v>15</v>
      </c>
      <c r="I28" s="20" t="s">
        <v>15</v>
      </c>
      <c r="J28" s="22">
        <v>1</v>
      </c>
      <c r="K28" s="21">
        <v>8</v>
      </c>
      <c r="L28" s="28">
        <v>53771</v>
      </c>
      <c r="M28" s="29">
        <v>10464</v>
      </c>
      <c r="N28" s="23">
        <v>45576</v>
      </c>
      <c r="O28" s="30" t="s">
        <v>13</v>
      </c>
    </row>
    <row r="29" spans="1:18" s="24" customFormat="1" ht="24.95" customHeight="1">
      <c r="A29" s="17">
        <v>27</v>
      </c>
      <c r="B29" s="21">
        <v>33</v>
      </c>
      <c r="C29" s="18" t="s">
        <v>239</v>
      </c>
      <c r="D29" s="28">
        <v>148</v>
      </c>
      <c r="E29" s="28">
        <v>35</v>
      </c>
      <c r="F29" s="20">
        <f t="shared" si="3"/>
        <v>3.2285714285714286</v>
      </c>
      <c r="G29" s="29">
        <v>41</v>
      </c>
      <c r="H29" s="21">
        <v>1</v>
      </c>
      <c r="I29" s="22">
        <f>G29/H29</f>
        <v>41</v>
      </c>
      <c r="J29" s="22">
        <v>1</v>
      </c>
      <c r="K29" s="20" t="s">
        <v>15</v>
      </c>
      <c r="L29" s="28">
        <v>46378.77</v>
      </c>
      <c r="M29" s="29">
        <v>9201</v>
      </c>
      <c r="N29" s="23">
        <v>45541</v>
      </c>
      <c r="O29" s="30" t="s">
        <v>14</v>
      </c>
      <c r="R29" s="17"/>
    </row>
    <row r="30" spans="1:18" s="24" customFormat="1" ht="24.95" customHeight="1">
      <c r="A30" s="17">
        <v>28</v>
      </c>
      <c r="B30" s="21">
        <v>30</v>
      </c>
      <c r="C30" s="18" t="s">
        <v>272</v>
      </c>
      <c r="D30" s="28">
        <v>60</v>
      </c>
      <c r="E30" s="19">
        <v>106</v>
      </c>
      <c r="F30" s="20">
        <f t="shared" si="3"/>
        <v>-0.43396226415094341</v>
      </c>
      <c r="G30" s="29">
        <v>24</v>
      </c>
      <c r="H30" s="21">
        <v>1</v>
      </c>
      <c r="I30" s="22">
        <f>G30/H30</f>
        <v>24</v>
      </c>
      <c r="J30" s="22">
        <v>1</v>
      </c>
      <c r="K30" s="21">
        <v>7</v>
      </c>
      <c r="L30" s="28">
        <v>62810.19</v>
      </c>
      <c r="M30" s="29">
        <v>11949</v>
      </c>
      <c r="N30" s="23">
        <v>45583</v>
      </c>
      <c r="O30" s="30" t="s">
        <v>11</v>
      </c>
      <c r="R30" s="17"/>
    </row>
    <row r="31" spans="1:18" s="24" customFormat="1" ht="24.95" customHeight="1">
      <c r="A31" s="17">
        <v>29</v>
      </c>
      <c r="B31" s="21">
        <v>28</v>
      </c>
      <c r="C31" s="25" t="s">
        <v>347</v>
      </c>
      <c r="D31" s="19">
        <v>48</v>
      </c>
      <c r="E31" s="19">
        <v>119.6</v>
      </c>
      <c r="F31" s="20">
        <f t="shared" si="3"/>
        <v>-0.59866220735785947</v>
      </c>
      <c r="G31" s="21">
        <v>9</v>
      </c>
      <c r="H31" s="21">
        <v>6</v>
      </c>
      <c r="I31" s="22">
        <f>G31/H31</f>
        <v>1.5</v>
      </c>
      <c r="J31" s="22">
        <v>2</v>
      </c>
      <c r="K31" s="22">
        <v>2</v>
      </c>
      <c r="L31" s="19">
        <v>208.6</v>
      </c>
      <c r="M31" s="21">
        <v>36</v>
      </c>
      <c r="N31" s="23">
        <v>45618</v>
      </c>
      <c r="O31" s="30" t="s">
        <v>217</v>
      </c>
      <c r="R31" s="17"/>
    </row>
    <row r="32" spans="1:18" s="24" customFormat="1" ht="24.95" customHeight="1">
      <c r="A32" s="17">
        <v>30</v>
      </c>
      <c r="B32" s="21">
        <v>17</v>
      </c>
      <c r="C32" s="25" t="s">
        <v>359</v>
      </c>
      <c r="D32" s="19">
        <v>38</v>
      </c>
      <c r="E32" s="19">
        <v>2985</v>
      </c>
      <c r="F32" s="20">
        <f t="shared" si="3"/>
        <v>-0.98726968174204355</v>
      </c>
      <c r="G32" s="21">
        <v>6</v>
      </c>
      <c r="H32" s="20" t="s">
        <v>15</v>
      </c>
      <c r="I32" s="20" t="s">
        <v>15</v>
      </c>
      <c r="J32" s="22">
        <v>2</v>
      </c>
      <c r="K32" s="22">
        <v>2</v>
      </c>
      <c r="L32" s="19">
        <v>3023</v>
      </c>
      <c r="M32" s="21">
        <v>466</v>
      </c>
      <c r="N32" s="23">
        <v>45618</v>
      </c>
      <c r="O32" s="30" t="s">
        <v>13</v>
      </c>
      <c r="R32" s="17"/>
    </row>
    <row r="33" spans="1:18" s="24" customFormat="1" ht="24.95" customHeight="1">
      <c r="A33" s="17">
        <v>31</v>
      </c>
      <c r="B33" s="21">
        <v>37</v>
      </c>
      <c r="C33" s="25" t="s">
        <v>331</v>
      </c>
      <c r="D33" s="19">
        <v>18</v>
      </c>
      <c r="E33" s="19">
        <v>4</v>
      </c>
      <c r="F33" s="20">
        <f t="shared" si="3"/>
        <v>3.5</v>
      </c>
      <c r="G33" s="21">
        <v>3</v>
      </c>
      <c r="H33" s="21">
        <v>1</v>
      </c>
      <c r="I33" s="22">
        <f>G33/H33</f>
        <v>3</v>
      </c>
      <c r="J33" s="22">
        <v>1</v>
      </c>
      <c r="K33" s="22">
        <v>5</v>
      </c>
      <c r="L33" s="19">
        <v>944</v>
      </c>
      <c r="M33" s="21">
        <v>155</v>
      </c>
      <c r="N33" s="23">
        <v>45597</v>
      </c>
      <c r="O33" s="30" t="s">
        <v>25</v>
      </c>
      <c r="R33" s="17"/>
    </row>
    <row r="34" spans="1:18" ht="24.95" customHeight="1">
      <c r="A34" s="46"/>
      <c r="B34" s="57" t="s">
        <v>26</v>
      </c>
      <c r="C34" s="48" t="s">
        <v>367</v>
      </c>
      <c r="D34" s="49">
        <f>SUBTOTAL(109,Table1324567891011121314151716182819202122232425262729[Pajamos 
(GBO)])</f>
        <v>538990.12000000011</v>
      </c>
      <c r="E34" s="49" t="s">
        <v>363</v>
      </c>
      <c r="F34" s="50">
        <f t="shared" ref="F34" si="4">(D34-E34)/E34</f>
        <v>0.25734268931635723</v>
      </c>
      <c r="G34" s="52">
        <f>SUBTOTAL(109,Table1324567891011121314151716182819202122232425262729[Žiūrovų sk. 
(ADM)])</f>
        <v>82543</v>
      </c>
      <c r="H34" s="57"/>
      <c r="I34" s="46"/>
      <c r="J34" s="46"/>
      <c r="K34" s="57"/>
      <c r="L34" s="54"/>
      <c r="M34" s="57"/>
      <c r="N34" s="46"/>
      <c r="O34" s="46" t="s">
        <v>26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51F7B-4763-4C54-84D5-64F3B6A3ABD9}">
  <dimension ref="A1:R35"/>
  <sheetViews>
    <sheetView topLeftCell="A13" zoomScale="60" zoomScaleNormal="60" workbookViewId="0">
      <selection activeCell="B30" sqref="B30:O30"/>
    </sheetView>
  </sheetViews>
  <sheetFormatPr defaultColWidth="0" defaultRowHeight="12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3" t="s">
        <v>267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22">
        <v>1</v>
      </c>
      <c r="C3" s="18" t="s">
        <v>262</v>
      </c>
      <c r="D3" s="28">
        <v>92974.14</v>
      </c>
      <c r="E3" s="28">
        <v>104144.96000000001</v>
      </c>
      <c r="F3" s="20">
        <f>(D3-E3)/E3</f>
        <v>-0.10726222373123007</v>
      </c>
      <c r="G3" s="29">
        <v>13409</v>
      </c>
      <c r="H3" s="21">
        <v>265</v>
      </c>
      <c r="I3" s="22">
        <f t="shared" ref="I3:I10" si="0">G3/H3</f>
        <v>50.6</v>
      </c>
      <c r="J3" s="22">
        <v>16</v>
      </c>
      <c r="K3" s="21">
        <v>2</v>
      </c>
      <c r="L3" s="28">
        <v>197119.09999999998</v>
      </c>
      <c r="M3" s="29">
        <v>28751</v>
      </c>
      <c r="N3" s="23">
        <v>45555</v>
      </c>
      <c r="O3" s="30" t="s">
        <v>263</v>
      </c>
    </row>
    <row r="4" spans="1:15" s="69" customFormat="1" ht="24.95" customHeight="1">
      <c r="A4" s="6">
        <v>2</v>
      </c>
      <c r="B4" s="17" t="s">
        <v>17</v>
      </c>
      <c r="C4" s="25" t="s">
        <v>261</v>
      </c>
      <c r="D4" s="19">
        <v>70965.06</v>
      </c>
      <c r="E4" s="20" t="s">
        <v>15</v>
      </c>
      <c r="F4" s="20" t="s">
        <v>15</v>
      </c>
      <c r="G4" s="21">
        <v>13058</v>
      </c>
      <c r="H4" s="21">
        <v>320</v>
      </c>
      <c r="I4" s="22">
        <f t="shared" si="0"/>
        <v>40.806249999999999</v>
      </c>
      <c r="J4" s="22">
        <v>19</v>
      </c>
      <c r="K4" s="22">
        <v>1</v>
      </c>
      <c r="L4" s="19">
        <v>78215.509999999995</v>
      </c>
      <c r="M4" s="21">
        <v>14302</v>
      </c>
      <c r="N4" s="23">
        <v>45562</v>
      </c>
      <c r="O4" s="53" t="s">
        <v>11</v>
      </c>
    </row>
    <row r="5" spans="1:15" s="69" customFormat="1" ht="24.95" customHeight="1">
      <c r="A5" s="17">
        <v>3</v>
      </c>
      <c r="B5" s="22" t="s">
        <v>23</v>
      </c>
      <c r="C5" s="25" t="s">
        <v>271</v>
      </c>
      <c r="D5" s="28">
        <v>38834.86</v>
      </c>
      <c r="E5" s="19" t="s">
        <v>15</v>
      </c>
      <c r="F5" s="20" t="s">
        <v>15</v>
      </c>
      <c r="G5" s="29">
        <v>4973</v>
      </c>
      <c r="H5" s="21">
        <v>46</v>
      </c>
      <c r="I5" s="22">
        <f t="shared" si="0"/>
        <v>108.10869565217391</v>
      </c>
      <c r="J5" s="22">
        <v>13</v>
      </c>
      <c r="K5" s="21">
        <v>0</v>
      </c>
      <c r="L5" s="28">
        <v>38834.86</v>
      </c>
      <c r="M5" s="29">
        <v>4973</v>
      </c>
      <c r="N5" s="23" t="s">
        <v>24</v>
      </c>
      <c r="O5" s="53" t="s">
        <v>12</v>
      </c>
    </row>
    <row r="6" spans="1:15" s="69" customFormat="1" ht="24.95" customHeight="1">
      <c r="A6" s="6">
        <v>4</v>
      </c>
      <c r="B6" s="21" t="s">
        <v>17</v>
      </c>
      <c r="C6" s="13" t="s">
        <v>268</v>
      </c>
      <c r="D6" s="8">
        <v>33751.39</v>
      </c>
      <c r="E6" s="19" t="s">
        <v>15</v>
      </c>
      <c r="F6" s="9" t="s">
        <v>15</v>
      </c>
      <c r="G6" s="10">
        <v>5106</v>
      </c>
      <c r="H6" s="10">
        <v>154</v>
      </c>
      <c r="I6" s="22">
        <f t="shared" si="0"/>
        <v>33.155844155844157</v>
      </c>
      <c r="J6" s="11">
        <v>20</v>
      </c>
      <c r="K6" s="11">
        <v>1</v>
      </c>
      <c r="L6" s="8">
        <v>33751.39</v>
      </c>
      <c r="M6" s="10">
        <v>5106</v>
      </c>
      <c r="N6" s="23">
        <v>45562</v>
      </c>
      <c r="O6" s="34" t="s">
        <v>14</v>
      </c>
    </row>
    <row r="7" spans="1:15" s="69" customFormat="1" ht="24.95" customHeight="1">
      <c r="A7" s="17">
        <v>5</v>
      </c>
      <c r="B7" s="22">
        <v>2</v>
      </c>
      <c r="C7" s="18" t="s">
        <v>234</v>
      </c>
      <c r="D7" s="28">
        <v>26917.83</v>
      </c>
      <c r="E7" s="28">
        <v>33604.28</v>
      </c>
      <c r="F7" s="20">
        <f>(D7-E7)/E7</f>
        <v>-0.1989761423247276</v>
      </c>
      <c r="G7" s="29">
        <v>4189</v>
      </c>
      <c r="H7" s="21">
        <v>187</v>
      </c>
      <c r="I7" s="22">
        <f t="shared" si="0"/>
        <v>22.401069518716579</v>
      </c>
      <c r="J7" s="22">
        <v>13</v>
      </c>
      <c r="K7" s="21">
        <v>4</v>
      </c>
      <c r="L7" s="28">
        <v>168380.81</v>
      </c>
      <c r="M7" s="29">
        <v>24440</v>
      </c>
      <c r="N7" s="23">
        <v>45541</v>
      </c>
      <c r="O7" s="30" t="s">
        <v>12</v>
      </c>
    </row>
    <row r="8" spans="1:15" s="69" customFormat="1" ht="24.95" customHeight="1">
      <c r="A8" s="6">
        <v>6</v>
      </c>
      <c r="B8" s="22">
        <v>4</v>
      </c>
      <c r="C8" s="18" t="s">
        <v>240</v>
      </c>
      <c r="D8" s="28">
        <v>19025.28</v>
      </c>
      <c r="E8" s="28">
        <v>21214.14</v>
      </c>
      <c r="F8" s="20">
        <f>(D8-E8)/E8</f>
        <v>-0.10317929456485159</v>
      </c>
      <c r="G8" s="29">
        <v>3072</v>
      </c>
      <c r="H8" s="21">
        <v>132</v>
      </c>
      <c r="I8" s="22">
        <f t="shared" si="0"/>
        <v>23.272727272727273</v>
      </c>
      <c r="J8" s="22">
        <v>15</v>
      </c>
      <c r="K8" s="21">
        <v>3</v>
      </c>
      <c r="L8" s="28">
        <v>93303.18</v>
      </c>
      <c r="M8" s="29">
        <v>13335</v>
      </c>
      <c r="N8" s="23">
        <v>45548</v>
      </c>
      <c r="O8" s="30" t="s">
        <v>11</v>
      </c>
    </row>
    <row r="9" spans="1:15" s="69" customFormat="1" ht="24.95" customHeight="1">
      <c r="A9" s="17">
        <v>7</v>
      </c>
      <c r="B9" s="22">
        <v>3</v>
      </c>
      <c r="C9" s="18" t="s">
        <v>191</v>
      </c>
      <c r="D9" s="28">
        <v>17483.509999999998</v>
      </c>
      <c r="E9" s="28">
        <v>22937.67</v>
      </c>
      <c r="F9" s="20">
        <f>(D9-E9)/E9</f>
        <v>-0.2377817799279526</v>
      </c>
      <c r="G9" s="29">
        <v>2653</v>
      </c>
      <c r="H9" s="21">
        <v>93</v>
      </c>
      <c r="I9" s="22">
        <f t="shared" si="0"/>
        <v>28.526881720430108</v>
      </c>
      <c r="J9" s="22">
        <v>14</v>
      </c>
      <c r="K9" s="21">
        <v>8</v>
      </c>
      <c r="L9" s="28">
        <v>841297.23</v>
      </c>
      <c r="M9" s="29">
        <v>116757</v>
      </c>
      <c r="N9" s="23">
        <v>45513</v>
      </c>
      <c r="O9" s="30" t="s">
        <v>61</v>
      </c>
    </row>
    <row r="10" spans="1:15" s="69" customFormat="1" ht="24.95" customHeight="1">
      <c r="A10" s="6">
        <v>8</v>
      </c>
      <c r="B10" s="22">
        <v>8</v>
      </c>
      <c r="C10" s="18" t="s">
        <v>146</v>
      </c>
      <c r="D10" s="28">
        <v>15016.76</v>
      </c>
      <c r="E10" s="28">
        <v>12167.09</v>
      </c>
      <c r="F10" s="20">
        <f>(D10-E10)/E10</f>
        <v>0.23421130278480723</v>
      </c>
      <c r="G10" s="29">
        <v>2710</v>
      </c>
      <c r="H10" s="21">
        <v>143</v>
      </c>
      <c r="I10" s="22">
        <f t="shared" si="0"/>
        <v>18.95104895104895</v>
      </c>
      <c r="J10" s="22">
        <v>11</v>
      </c>
      <c r="K10" s="21">
        <v>13</v>
      </c>
      <c r="L10" s="28">
        <v>1163107.3</v>
      </c>
      <c r="M10" s="29">
        <v>201917</v>
      </c>
      <c r="N10" s="23">
        <v>45478</v>
      </c>
      <c r="O10" s="30" t="s">
        <v>63</v>
      </c>
    </row>
    <row r="11" spans="1:15" s="69" customFormat="1" ht="24.95" customHeight="1">
      <c r="A11" s="17">
        <v>9</v>
      </c>
      <c r="B11" s="21" t="s">
        <v>17</v>
      </c>
      <c r="C11" s="25" t="s">
        <v>269</v>
      </c>
      <c r="D11" s="19">
        <v>13405</v>
      </c>
      <c r="E11" s="20" t="s">
        <v>15</v>
      </c>
      <c r="F11" s="20" t="s">
        <v>15</v>
      </c>
      <c r="G11" s="21">
        <v>2237</v>
      </c>
      <c r="H11" s="22" t="s">
        <v>15</v>
      </c>
      <c r="I11" s="22" t="s">
        <v>15</v>
      </c>
      <c r="J11" s="22">
        <v>13</v>
      </c>
      <c r="K11" s="22">
        <v>1</v>
      </c>
      <c r="L11" s="19">
        <v>13405</v>
      </c>
      <c r="M11" s="21">
        <v>2237</v>
      </c>
      <c r="N11" s="23">
        <v>45562</v>
      </c>
      <c r="O11" s="53" t="s">
        <v>13</v>
      </c>
    </row>
    <row r="12" spans="1:15" s="69" customFormat="1" ht="24.95" customHeight="1">
      <c r="A12" s="6">
        <v>10</v>
      </c>
      <c r="B12" s="22">
        <v>5</v>
      </c>
      <c r="C12" s="18" t="s">
        <v>258</v>
      </c>
      <c r="D12" s="28">
        <v>12360.82</v>
      </c>
      <c r="E12" s="28">
        <v>17843.96</v>
      </c>
      <c r="F12" s="20">
        <f>(D12-E12)/E12</f>
        <v>-0.30728268837186362</v>
      </c>
      <c r="G12" s="29">
        <v>2213</v>
      </c>
      <c r="H12" s="21">
        <v>178</v>
      </c>
      <c r="I12" s="22">
        <f t="shared" ref="I12:I29" si="1">G12/H12</f>
        <v>12.432584269662922</v>
      </c>
      <c r="J12" s="22">
        <v>23</v>
      </c>
      <c r="K12" s="21">
        <v>2</v>
      </c>
      <c r="L12" s="28">
        <v>34693.980000000003</v>
      </c>
      <c r="M12" s="29">
        <v>6144</v>
      </c>
      <c r="N12" s="23">
        <v>45555</v>
      </c>
      <c r="O12" s="30" t="s">
        <v>259</v>
      </c>
    </row>
    <row r="13" spans="1:15" s="69" customFormat="1" ht="24.95" customHeight="1">
      <c r="A13" s="17">
        <v>11</v>
      </c>
      <c r="B13" s="22">
        <v>7</v>
      </c>
      <c r="C13" s="18" t="s">
        <v>253</v>
      </c>
      <c r="D13" s="28">
        <v>8615.0300000000007</v>
      </c>
      <c r="E13" s="28">
        <v>14252.43</v>
      </c>
      <c r="F13" s="20">
        <f>(D13-E13)/E13</f>
        <v>-0.39553956763864123</v>
      </c>
      <c r="G13" s="29">
        <v>1409</v>
      </c>
      <c r="H13" s="21">
        <v>65</v>
      </c>
      <c r="I13" s="22">
        <f t="shared" si="1"/>
        <v>21.676923076923078</v>
      </c>
      <c r="J13" s="22">
        <v>9</v>
      </c>
      <c r="K13" s="21">
        <v>2</v>
      </c>
      <c r="L13" s="28">
        <v>23565.9</v>
      </c>
      <c r="M13" s="29">
        <v>3605</v>
      </c>
      <c r="N13" s="23">
        <v>45555</v>
      </c>
      <c r="O13" s="30" t="s">
        <v>11</v>
      </c>
    </row>
    <row r="14" spans="1:15" s="69" customFormat="1" ht="24.95" customHeight="1">
      <c r="A14" s="6">
        <v>12</v>
      </c>
      <c r="B14" s="21" t="s">
        <v>17</v>
      </c>
      <c r="C14" s="25" t="s">
        <v>270</v>
      </c>
      <c r="D14" s="19">
        <v>6305.52</v>
      </c>
      <c r="E14" s="19" t="s">
        <v>15</v>
      </c>
      <c r="F14" s="20" t="s">
        <v>15</v>
      </c>
      <c r="G14" s="21">
        <v>1051</v>
      </c>
      <c r="H14" s="21">
        <v>99</v>
      </c>
      <c r="I14" s="22">
        <f t="shared" si="1"/>
        <v>10.616161616161616</v>
      </c>
      <c r="J14" s="22">
        <v>11</v>
      </c>
      <c r="K14" s="22">
        <v>1</v>
      </c>
      <c r="L14" s="19">
        <v>6305.52</v>
      </c>
      <c r="M14" s="21">
        <v>1051</v>
      </c>
      <c r="N14" s="23">
        <v>45562</v>
      </c>
      <c r="O14" s="30" t="s">
        <v>66</v>
      </c>
    </row>
    <row r="15" spans="1:15" s="69" customFormat="1" ht="24.95" customHeight="1">
      <c r="A15" s="17">
        <v>13</v>
      </c>
      <c r="B15" s="22">
        <v>9</v>
      </c>
      <c r="C15" s="18" t="s">
        <v>178</v>
      </c>
      <c r="D15" s="28">
        <v>5980.77</v>
      </c>
      <c r="E15" s="28">
        <v>9072.86</v>
      </c>
      <c r="F15" s="20">
        <f>(D15-E15)/E15</f>
        <v>-0.34080653729915372</v>
      </c>
      <c r="G15" s="29">
        <v>937</v>
      </c>
      <c r="H15" s="21">
        <v>37</v>
      </c>
      <c r="I15" s="22">
        <f t="shared" si="1"/>
        <v>25.324324324324323</v>
      </c>
      <c r="J15" s="22">
        <v>5</v>
      </c>
      <c r="K15" s="21">
        <v>10</v>
      </c>
      <c r="L15" s="28">
        <v>762970.25</v>
      </c>
      <c r="M15" s="29">
        <v>99243</v>
      </c>
      <c r="N15" s="23">
        <v>45499</v>
      </c>
      <c r="O15" s="30" t="s">
        <v>18</v>
      </c>
    </row>
    <row r="16" spans="1:15" s="69" customFormat="1" ht="24.95" customHeight="1">
      <c r="A16" s="6">
        <v>14</v>
      </c>
      <c r="B16" s="22">
        <v>13</v>
      </c>
      <c r="C16" s="18" t="s">
        <v>106</v>
      </c>
      <c r="D16" s="28">
        <v>5393.05</v>
      </c>
      <c r="E16" s="28">
        <v>6265.06</v>
      </c>
      <c r="F16" s="20">
        <f>(D16-E16)/E16</f>
        <v>-0.1391862168917776</v>
      </c>
      <c r="G16" s="29">
        <v>1011</v>
      </c>
      <c r="H16" s="21">
        <v>78</v>
      </c>
      <c r="I16" s="22">
        <f t="shared" si="1"/>
        <v>12.961538461538462</v>
      </c>
      <c r="J16" s="22">
        <v>9</v>
      </c>
      <c r="K16" s="21">
        <v>16</v>
      </c>
      <c r="L16" s="28">
        <v>1301233.1299999999</v>
      </c>
      <c r="M16" s="29">
        <v>225227</v>
      </c>
      <c r="N16" s="23">
        <v>45457</v>
      </c>
      <c r="O16" s="30" t="s">
        <v>18</v>
      </c>
    </row>
    <row r="17" spans="1:15" s="69" customFormat="1" ht="24.95" customHeight="1">
      <c r="A17" s="17">
        <v>15</v>
      </c>
      <c r="B17" s="22">
        <v>6</v>
      </c>
      <c r="C17" s="18" t="s">
        <v>246</v>
      </c>
      <c r="D17" s="28">
        <v>4521.47</v>
      </c>
      <c r="E17" s="28">
        <v>15993.3</v>
      </c>
      <c r="F17" s="20">
        <f>(D17-E17)/E17</f>
        <v>-0.71728974007865787</v>
      </c>
      <c r="G17" s="29">
        <v>754</v>
      </c>
      <c r="H17" s="21">
        <v>40</v>
      </c>
      <c r="I17" s="22">
        <f t="shared" si="1"/>
        <v>18.850000000000001</v>
      </c>
      <c r="J17" s="22">
        <v>6</v>
      </c>
      <c r="K17" s="21">
        <v>3</v>
      </c>
      <c r="L17" s="28">
        <v>60771.4</v>
      </c>
      <c r="M17" s="29">
        <v>8219</v>
      </c>
      <c r="N17" s="23">
        <v>45548</v>
      </c>
      <c r="O17" s="30" t="s">
        <v>63</v>
      </c>
    </row>
    <row r="18" spans="1:15" s="69" customFormat="1" ht="24.95" customHeight="1">
      <c r="A18" s="6">
        <v>16</v>
      </c>
      <c r="B18" s="22">
        <v>10</v>
      </c>
      <c r="C18" s="18" t="s">
        <v>239</v>
      </c>
      <c r="D18" s="28">
        <v>4166.16</v>
      </c>
      <c r="E18" s="28">
        <v>7605.63</v>
      </c>
      <c r="F18" s="20">
        <f>(D18-E18)/E18</f>
        <v>-0.45222683722452978</v>
      </c>
      <c r="G18" s="29">
        <v>898</v>
      </c>
      <c r="H18" s="21">
        <v>66</v>
      </c>
      <c r="I18" s="22">
        <f t="shared" si="1"/>
        <v>13.606060606060606</v>
      </c>
      <c r="J18" s="22">
        <v>11</v>
      </c>
      <c r="K18" s="21">
        <v>4</v>
      </c>
      <c r="L18" s="28">
        <v>41835.249999999993</v>
      </c>
      <c r="M18" s="29">
        <v>8130</v>
      </c>
      <c r="N18" s="23">
        <v>45541</v>
      </c>
      <c r="O18" s="30" t="s">
        <v>14</v>
      </c>
    </row>
    <row r="19" spans="1:15" s="69" customFormat="1" ht="24.95" customHeight="1">
      <c r="A19" s="17">
        <v>17</v>
      </c>
      <c r="B19" s="22" t="s">
        <v>23</v>
      </c>
      <c r="C19" s="25" t="s">
        <v>272</v>
      </c>
      <c r="D19" s="28">
        <v>3312</v>
      </c>
      <c r="E19" s="19" t="s">
        <v>15</v>
      </c>
      <c r="F19" s="20" t="s">
        <v>15</v>
      </c>
      <c r="G19" s="29">
        <v>884</v>
      </c>
      <c r="H19" s="21">
        <v>2</v>
      </c>
      <c r="I19" s="22">
        <f t="shared" si="1"/>
        <v>442</v>
      </c>
      <c r="J19" s="22">
        <v>1</v>
      </c>
      <c r="K19" s="21">
        <v>0</v>
      </c>
      <c r="L19" s="28">
        <v>3312</v>
      </c>
      <c r="M19" s="29">
        <v>884</v>
      </c>
      <c r="N19" s="23" t="s">
        <v>24</v>
      </c>
      <c r="O19" s="53" t="s">
        <v>66</v>
      </c>
    </row>
    <row r="20" spans="1:15" s="69" customFormat="1" ht="24.95" customHeight="1">
      <c r="A20" s="6">
        <v>18</v>
      </c>
      <c r="B20" s="22">
        <v>12</v>
      </c>
      <c r="C20" s="18" t="s">
        <v>264</v>
      </c>
      <c r="D20" s="28">
        <v>2808.63</v>
      </c>
      <c r="E20" s="28">
        <v>6985.18</v>
      </c>
      <c r="F20" s="20">
        <f>(D20-E20)/E20</f>
        <v>-0.59791587332037255</v>
      </c>
      <c r="G20" s="29">
        <v>471</v>
      </c>
      <c r="H20" s="21">
        <v>29</v>
      </c>
      <c r="I20" s="22">
        <f t="shared" si="1"/>
        <v>16.241379310344829</v>
      </c>
      <c r="J20" s="22">
        <v>5</v>
      </c>
      <c r="K20" s="21">
        <v>2</v>
      </c>
      <c r="L20" s="28">
        <v>9793.81</v>
      </c>
      <c r="M20" s="29">
        <v>1633</v>
      </c>
      <c r="N20" s="23">
        <v>45555</v>
      </c>
      <c r="O20" s="30" t="s">
        <v>265</v>
      </c>
    </row>
    <row r="21" spans="1:15" s="69" customFormat="1" ht="24.95" customHeight="1">
      <c r="A21" s="17">
        <v>19</v>
      </c>
      <c r="B21" s="22">
        <v>14</v>
      </c>
      <c r="C21" s="18" t="s">
        <v>255</v>
      </c>
      <c r="D21" s="28">
        <v>1980.3</v>
      </c>
      <c r="E21" s="28">
        <v>4509.2700000000004</v>
      </c>
      <c r="F21" s="20">
        <f>(D21-E21)/E21</f>
        <v>-0.56083800703883335</v>
      </c>
      <c r="G21" s="29">
        <v>332</v>
      </c>
      <c r="H21" s="21">
        <v>26</v>
      </c>
      <c r="I21" s="22">
        <f t="shared" si="1"/>
        <v>12.76923076923077</v>
      </c>
      <c r="J21" s="22">
        <v>10</v>
      </c>
      <c r="K21" s="21">
        <v>2</v>
      </c>
      <c r="L21" s="28">
        <v>7006.81</v>
      </c>
      <c r="M21" s="29" t="s">
        <v>274</v>
      </c>
      <c r="N21" s="23">
        <v>45555</v>
      </c>
      <c r="O21" s="30" t="s">
        <v>25</v>
      </c>
    </row>
    <row r="22" spans="1:15" s="69" customFormat="1" ht="24.95" customHeight="1">
      <c r="A22" s="6">
        <v>20</v>
      </c>
      <c r="B22" s="22">
        <v>16</v>
      </c>
      <c r="C22" s="18" t="s">
        <v>203</v>
      </c>
      <c r="D22" s="28">
        <v>1449.32</v>
      </c>
      <c r="E22" s="28">
        <v>3159.02</v>
      </c>
      <c r="F22" s="20">
        <f>(D22-E22)/E22</f>
        <v>-0.5412121480712373</v>
      </c>
      <c r="G22" s="29">
        <v>219</v>
      </c>
      <c r="H22" s="21">
        <v>8</v>
      </c>
      <c r="I22" s="22">
        <f t="shared" si="1"/>
        <v>27.375</v>
      </c>
      <c r="J22" s="22">
        <v>2</v>
      </c>
      <c r="K22" s="21">
        <v>7</v>
      </c>
      <c r="L22" s="28">
        <v>141321.73000000001</v>
      </c>
      <c r="M22" s="29">
        <v>19911</v>
      </c>
      <c r="N22" s="23">
        <v>45520</v>
      </c>
      <c r="O22" s="30" t="s">
        <v>18</v>
      </c>
    </row>
    <row r="23" spans="1:15" s="69" customFormat="1" ht="24.95" customHeight="1">
      <c r="A23" s="17">
        <v>21</v>
      </c>
      <c r="B23" s="22">
        <v>21</v>
      </c>
      <c r="C23" s="18" t="s">
        <v>250</v>
      </c>
      <c r="D23" s="28">
        <v>603</v>
      </c>
      <c r="E23" s="28">
        <v>430</v>
      </c>
      <c r="F23" s="20">
        <f>(D23-E23)/E23</f>
        <v>0.40232558139534885</v>
      </c>
      <c r="G23" s="29">
        <v>117</v>
      </c>
      <c r="H23" s="21">
        <v>11</v>
      </c>
      <c r="I23" s="22">
        <f t="shared" si="1"/>
        <v>10.636363636363637</v>
      </c>
      <c r="J23" s="22">
        <v>3</v>
      </c>
      <c r="K23" s="21">
        <v>3</v>
      </c>
      <c r="L23" s="28">
        <v>2227.6799999999998</v>
      </c>
      <c r="M23" s="29">
        <v>430</v>
      </c>
      <c r="N23" s="23">
        <v>45548</v>
      </c>
      <c r="O23" s="30" t="s">
        <v>251</v>
      </c>
    </row>
    <row r="24" spans="1:15" s="69" customFormat="1" ht="24.95" customHeight="1">
      <c r="A24" s="6">
        <v>22</v>
      </c>
      <c r="B24" s="28" t="s">
        <v>15</v>
      </c>
      <c r="C24" s="18" t="s">
        <v>275</v>
      </c>
      <c r="D24" s="28">
        <v>588</v>
      </c>
      <c r="E24" s="19" t="s">
        <v>15</v>
      </c>
      <c r="F24" s="20" t="s">
        <v>15</v>
      </c>
      <c r="G24" s="29">
        <v>147</v>
      </c>
      <c r="H24" s="21">
        <v>1</v>
      </c>
      <c r="I24" s="22">
        <f t="shared" si="1"/>
        <v>147</v>
      </c>
      <c r="J24" s="22">
        <v>1</v>
      </c>
      <c r="K24" s="20" t="s">
        <v>15</v>
      </c>
      <c r="L24" s="28">
        <v>130932.48</v>
      </c>
      <c r="M24" s="29">
        <v>20614</v>
      </c>
      <c r="N24" s="23">
        <v>44981</v>
      </c>
      <c r="O24" s="30" t="s">
        <v>168</v>
      </c>
    </row>
    <row r="25" spans="1:15" ht="24.95" customHeight="1">
      <c r="A25" s="17">
        <v>23</v>
      </c>
      <c r="B25" s="22">
        <v>17</v>
      </c>
      <c r="C25" s="18" t="s">
        <v>206</v>
      </c>
      <c r="D25" s="28">
        <v>427.2</v>
      </c>
      <c r="E25" s="28">
        <v>1454.7</v>
      </c>
      <c r="F25" s="20">
        <f>(D25-E25)/E25</f>
        <v>-0.70633120230975455</v>
      </c>
      <c r="G25" s="29">
        <v>94</v>
      </c>
      <c r="H25" s="21">
        <v>3</v>
      </c>
      <c r="I25" s="22">
        <f t="shared" si="1"/>
        <v>31.333333333333332</v>
      </c>
      <c r="J25" s="22">
        <v>1</v>
      </c>
      <c r="K25" s="21">
        <v>6</v>
      </c>
      <c r="L25" s="28">
        <v>59962.37</v>
      </c>
      <c r="M25" s="29">
        <v>9653</v>
      </c>
      <c r="N25" s="23">
        <v>45527</v>
      </c>
      <c r="O25" s="30" t="s">
        <v>12</v>
      </c>
    </row>
    <row r="26" spans="1:15" s="69" customFormat="1" ht="24.95" customHeight="1">
      <c r="A26" s="6">
        <v>24</v>
      </c>
      <c r="B26" s="22">
        <v>19</v>
      </c>
      <c r="C26" s="18" t="s">
        <v>193</v>
      </c>
      <c r="D26" s="28">
        <v>417</v>
      </c>
      <c r="E26" s="28">
        <v>1087.5999999999999</v>
      </c>
      <c r="F26" s="20">
        <f>(D26-E26)/E26</f>
        <v>-0.61658698050753946</v>
      </c>
      <c r="G26" s="29">
        <v>74</v>
      </c>
      <c r="H26" s="21">
        <v>14</v>
      </c>
      <c r="I26" s="22">
        <f t="shared" si="1"/>
        <v>5.2857142857142856</v>
      </c>
      <c r="J26" s="22">
        <v>1</v>
      </c>
      <c r="K26" s="21">
        <v>8</v>
      </c>
      <c r="L26" s="28">
        <v>71032.509999999995</v>
      </c>
      <c r="M26" s="29">
        <v>13917</v>
      </c>
      <c r="N26" s="23">
        <v>45513</v>
      </c>
      <c r="O26" s="30" t="s">
        <v>11</v>
      </c>
    </row>
    <row r="27" spans="1:15" s="69" customFormat="1" ht="24.95" customHeight="1">
      <c r="A27" s="17">
        <v>25</v>
      </c>
      <c r="B27" s="22">
        <v>25</v>
      </c>
      <c r="C27" s="18" t="s">
        <v>147</v>
      </c>
      <c r="D27" s="28">
        <v>222</v>
      </c>
      <c r="E27" s="28">
        <v>112</v>
      </c>
      <c r="F27" s="20">
        <f>(D27-E27)/E27</f>
        <v>0.9821428571428571</v>
      </c>
      <c r="G27" s="29">
        <v>41</v>
      </c>
      <c r="H27" s="21">
        <v>1</v>
      </c>
      <c r="I27" s="22">
        <f t="shared" si="1"/>
        <v>41</v>
      </c>
      <c r="J27" s="22">
        <v>1</v>
      </c>
      <c r="K27" s="21">
        <v>13</v>
      </c>
      <c r="L27" s="28">
        <v>54754.46</v>
      </c>
      <c r="M27" s="29">
        <v>8299</v>
      </c>
      <c r="N27" s="23">
        <v>45478</v>
      </c>
      <c r="O27" s="30" t="s">
        <v>18</v>
      </c>
    </row>
    <row r="28" spans="1:15" s="69" customFormat="1" ht="24.95" customHeight="1">
      <c r="A28" s="6">
        <v>26</v>
      </c>
      <c r="B28" s="21">
        <v>24</v>
      </c>
      <c r="C28" s="18" t="s">
        <v>148</v>
      </c>
      <c r="D28" s="28">
        <v>200</v>
      </c>
      <c r="E28" s="28">
        <v>217</v>
      </c>
      <c r="F28" s="20">
        <f>(D28-E28)/E28</f>
        <v>-7.8341013824884786E-2</v>
      </c>
      <c r="G28" s="29">
        <v>50</v>
      </c>
      <c r="H28" s="21">
        <v>1</v>
      </c>
      <c r="I28" s="22">
        <f t="shared" si="1"/>
        <v>50</v>
      </c>
      <c r="J28" s="22">
        <v>1</v>
      </c>
      <c r="K28" s="20" t="s">
        <v>15</v>
      </c>
      <c r="L28" s="28">
        <v>6027.14</v>
      </c>
      <c r="M28" s="29">
        <v>1068</v>
      </c>
      <c r="N28" s="23">
        <v>45471</v>
      </c>
      <c r="O28" s="30" t="s">
        <v>82</v>
      </c>
    </row>
    <row r="29" spans="1:15" ht="24.95" customHeight="1">
      <c r="A29" s="17">
        <v>27</v>
      </c>
      <c r="B29" s="19" t="s">
        <v>15</v>
      </c>
      <c r="C29" s="25" t="s">
        <v>84</v>
      </c>
      <c r="D29" s="28">
        <v>137</v>
      </c>
      <c r="E29" s="19" t="s">
        <v>15</v>
      </c>
      <c r="F29" s="20" t="s">
        <v>15</v>
      </c>
      <c r="G29" s="29">
        <v>25</v>
      </c>
      <c r="H29" s="21">
        <v>1</v>
      </c>
      <c r="I29" s="22">
        <f t="shared" si="1"/>
        <v>25</v>
      </c>
      <c r="J29" s="22">
        <v>1</v>
      </c>
      <c r="K29" s="22" t="s">
        <v>15</v>
      </c>
      <c r="L29" s="28">
        <v>14082.949999999997</v>
      </c>
      <c r="M29" s="29">
        <v>2242</v>
      </c>
      <c r="N29" s="23">
        <v>45408</v>
      </c>
      <c r="O29" s="53" t="s">
        <v>82</v>
      </c>
    </row>
    <row r="30" spans="1:15" s="69" customFormat="1" ht="24.95" customHeight="1">
      <c r="A30" s="6">
        <v>28</v>
      </c>
      <c r="B30" s="28" t="s">
        <v>15</v>
      </c>
      <c r="C30" s="7" t="s">
        <v>276</v>
      </c>
      <c r="D30" s="32">
        <v>135</v>
      </c>
      <c r="E30" s="28" t="s">
        <v>15</v>
      </c>
      <c r="F30" s="9" t="s">
        <v>15</v>
      </c>
      <c r="G30" s="33">
        <v>27</v>
      </c>
      <c r="H30" s="10">
        <v>1</v>
      </c>
      <c r="I30" s="11">
        <v>27</v>
      </c>
      <c r="J30" s="11">
        <v>1</v>
      </c>
      <c r="K30" s="10" t="s">
        <v>15</v>
      </c>
      <c r="L30" s="28">
        <v>3659.5</v>
      </c>
      <c r="M30" s="29">
        <v>930</v>
      </c>
      <c r="N30" s="12">
        <v>45317</v>
      </c>
      <c r="O30" s="31" t="s">
        <v>217</v>
      </c>
    </row>
    <row r="31" spans="1:15" s="69" customFormat="1" ht="24.95" customHeight="1">
      <c r="A31" s="17">
        <v>29</v>
      </c>
      <c r="B31" s="22">
        <v>26</v>
      </c>
      <c r="C31" s="18" t="s">
        <v>232</v>
      </c>
      <c r="D31" s="28">
        <v>131</v>
      </c>
      <c r="E31" s="28">
        <v>100</v>
      </c>
      <c r="F31" s="20">
        <f>(D31-E31)/E31</f>
        <v>0.31</v>
      </c>
      <c r="G31" s="29">
        <v>23</v>
      </c>
      <c r="H31" s="22" t="s">
        <v>15</v>
      </c>
      <c r="I31" s="22" t="s">
        <v>15</v>
      </c>
      <c r="J31" s="22">
        <v>2</v>
      </c>
      <c r="K31" s="21">
        <v>5</v>
      </c>
      <c r="L31" s="28">
        <v>6468</v>
      </c>
      <c r="M31" s="29">
        <v>1064</v>
      </c>
      <c r="N31" s="23">
        <v>45534</v>
      </c>
      <c r="O31" s="30" t="s">
        <v>13</v>
      </c>
    </row>
    <row r="32" spans="1:15" ht="24.95" customHeight="1">
      <c r="A32" s="6">
        <v>30</v>
      </c>
      <c r="B32" s="19" t="s">
        <v>15</v>
      </c>
      <c r="C32" s="18" t="s">
        <v>186</v>
      </c>
      <c r="D32" s="28">
        <v>108</v>
      </c>
      <c r="E32" s="19" t="s">
        <v>15</v>
      </c>
      <c r="F32" s="20" t="s">
        <v>15</v>
      </c>
      <c r="G32" s="29">
        <v>24</v>
      </c>
      <c r="H32" s="21">
        <v>1</v>
      </c>
      <c r="I32" s="22">
        <f>G32/H32</f>
        <v>24</v>
      </c>
      <c r="J32" s="22">
        <v>1</v>
      </c>
      <c r="K32" s="20" t="s">
        <v>15</v>
      </c>
      <c r="L32" s="28">
        <v>32072.66</v>
      </c>
      <c r="M32" s="29">
        <v>6250</v>
      </c>
      <c r="N32" s="23">
        <v>45506</v>
      </c>
      <c r="O32" s="30" t="s">
        <v>61</v>
      </c>
    </row>
    <row r="33" spans="1:18" ht="24.95" customHeight="1">
      <c r="A33" s="17">
        <v>31</v>
      </c>
      <c r="B33" s="22">
        <v>18</v>
      </c>
      <c r="C33" s="18" t="s">
        <v>249</v>
      </c>
      <c r="D33" s="28">
        <v>55</v>
      </c>
      <c r="E33" s="28">
        <v>1249</v>
      </c>
      <c r="F33" s="20">
        <f>(D33-E33)/E33</f>
        <v>-0.95596477181745398</v>
      </c>
      <c r="G33" s="29">
        <v>8</v>
      </c>
      <c r="H33" s="22" t="s">
        <v>15</v>
      </c>
      <c r="I33" s="22" t="s">
        <v>15</v>
      </c>
      <c r="J33" s="22">
        <v>2</v>
      </c>
      <c r="K33" s="21">
        <v>3</v>
      </c>
      <c r="L33" s="28">
        <v>6459</v>
      </c>
      <c r="M33" s="29">
        <v>1373</v>
      </c>
      <c r="N33" s="23">
        <v>45548</v>
      </c>
      <c r="O33" s="30" t="s">
        <v>13</v>
      </c>
    </row>
    <row r="34" spans="1:18" s="24" customFormat="1" ht="24.95" customHeight="1">
      <c r="A34" s="6">
        <v>32</v>
      </c>
      <c r="B34" s="22">
        <v>30</v>
      </c>
      <c r="C34" s="18" t="s">
        <v>176</v>
      </c>
      <c r="D34" s="28">
        <v>30</v>
      </c>
      <c r="E34" s="28">
        <v>40</v>
      </c>
      <c r="F34" s="20">
        <f>(D34-E34)/E34</f>
        <v>-0.25</v>
      </c>
      <c r="G34" s="29">
        <v>6</v>
      </c>
      <c r="H34" s="22" t="s">
        <v>15</v>
      </c>
      <c r="I34" s="22" t="s">
        <v>15</v>
      </c>
      <c r="J34" s="22">
        <v>1</v>
      </c>
      <c r="K34" s="21">
        <v>11</v>
      </c>
      <c r="L34" s="28">
        <v>10990</v>
      </c>
      <c r="M34" s="29">
        <v>2374</v>
      </c>
      <c r="N34" s="23">
        <v>45492</v>
      </c>
      <c r="O34" s="30" t="s">
        <v>13</v>
      </c>
      <c r="R34" s="17"/>
    </row>
    <row r="35" spans="1:18" ht="24.95" customHeight="1">
      <c r="A35" s="46"/>
      <c r="B35" s="57" t="s">
        <v>26</v>
      </c>
      <c r="C35" s="48" t="s">
        <v>277</v>
      </c>
      <c r="D35" s="49">
        <f>SUBTOTAL(109,Table1324567891011121314151716182819[Pajamos 
(GBO)])</f>
        <v>388320.10000000009</v>
      </c>
      <c r="E35" s="49" t="s">
        <v>273</v>
      </c>
      <c r="F35" s="50">
        <f t="shared" ref="F35" si="2">(D35-E35)/E35</f>
        <v>0.30879269028415846</v>
      </c>
      <c r="G35" s="52">
        <f>SUBTOTAL(109,Table1324567891011121314151716182819[Žiūrovų sk. 
(ADM)])</f>
        <v>62222</v>
      </c>
      <c r="H35" s="57"/>
      <c r="I35" s="46"/>
      <c r="J35" s="46"/>
      <c r="K35" s="57"/>
      <c r="L35" s="54"/>
      <c r="M35" s="57"/>
      <c r="N35" s="46"/>
      <c r="O35" s="46" t="s">
        <v>26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91409-3324-41CF-8C1E-DB6102E8FB63}">
  <dimension ref="A1:O37"/>
  <sheetViews>
    <sheetView zoomScale="60" zoomScaleNormal="60" workbookViewId="0">
      <selection activeCell="D8" sqref="D8"/>
    </sheetView>
  </sheetViews>
  <sheetFormatPr defaultColWidth="0" defaultRowHeight="12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3" t="s">
        <v>260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22" t="s">
        <v>17</v>
      </c>
      <c r="C3" s="18" t="s">
        <v>262</v>
      </c>
      <c r="D3" s="28">
        <v>104144.96000000001</v>
      </c>
      <c r="E3" s="28" t="s">
        <v>15</v>
      </c>
      <c r="F3" s="20" t="s">
        <v>15</v>
      </c>
      <c r="G3" s="29">
        <v>15342</v>
      </c>
      <c r="H3" s="21">
        <v>254</v>
      </c>
      <c r="I3" s="11">
        <f t="shared" ref="I3:I19" si="0">G3/H3</f>
        <v>60.401574803149607</v>
      </c>
      <c r="J3" s="22">
        <v>16</v>
      </c>
      <c r="K3" s="21">
        <v>1</v>
      </c>
      <c r="L3" s="28">
        <v>104144.96000000001</v>
      </c>
      <c r="M3" s="29">
        <v>15342</v>
      </c>
      <c r="N3" s="23">
        <v>45555</v>
      </c>
      <c r="O3" s="30" t="s">
        <v>263</v>
      </c>
    </row>
    <row r="4" spans="1:15" s="69" customFormat="1" ht="24.95" customHeight="1">
      <c r="A4" s="17">
        <v>2</v>
      </c>
      <c r="B4" s="22">
        <v>1</v>
      </c>
      <c r="C4" s="18" t="s">
        <v>234</v>
      </c>
      <c r="D4" s="28">
        <v>33604.28</v>
      </c>
      <c r="E4" s="28">
        <v>51495.73</v>
      </c>
      <c r="F4" s="20">
        <f>(D4-E4)/E4</f>
        <v>-0.34743560291309594</v>
      </c>
      <c r="G4" s="29">
        <v>4615</v>
      </c>
      <c r="H4" s="21">
        <v>242</v>
      </c>
      <c r="I4" s="11">
        <f t="shared" si="0"/>
        <v>19.070247933884296</v>
      </c>
      <c r="J4" s="22">
        <v>15</v>
      </c>
      <c r="K4" s="21">
        <v>3</v>
      </c>
      <c r="L4" s="28">
        <v>141462.98000000001</v>
      </c>
      <c r="M4" s="29">
        <v>20251</v>
      </c>
      <c r="N4" s="23">
        <v>45541</v>
      </c>
      <c r="O4" s="30" t="s">
        <v>12</v>
      </c>
    </row>
    <row r="5" spans="1:15" s="69" customFormat="1" ht="24.95" customHeight="1">
      <c r="A5" s="17">
        <v>3</v>
      </c>
      <c r="B5" s="22">
        <v>3</v>
      </c>
      <c r="C5" s="18" t="s">
        <v>191</v>
      </c>
      <c r="D5" s="28">
        <v>22937.67</v>
      </c>
      <c r="E5" s="28">
        <v>42788.639999999999</v>
      </c>
      <c r="F5" s="20">
        <f>(D5-E5)/E5</f>
        <v>-0.46393084706595022</v>
      </c>
      <c r="G5" s="29">
        <v>3459</v>
      </c>
      <c r="H5" s="21">
        <v>143</v>
      </c>
      <c r="I5" s="11">
        <f t="shared" si="0"/>
        <v>24.18881118881119</v>
      </c>
      <c r="J5" s="22">
        <v>15</v>
      </c>
      <c r="K5" s="21">
        <v>7</v>
      </c>
      <c r="L5" s="28">
        <v>823213.72</v>
      </c>
      <c r="M5" s="29">
        <v>113981</v>
      </c>
      <c r="N5" s="23">
        <v>45513</v>
      </c>
      <c r="O5" s="30" t="s">
        <v>61</v>
      </c>
    </row>
    <row r="6" spans="1:15" s="69" customFormat="1" ht="24.95" customHeight="1">
      <c r="A6" s="17">
        <v>4</v>
      </c>
      <c r="B6" s="22">
        <v>2</v>
      </c>
      <c r="C6" s="18" t="s">
        <v>240</v>
      </c>
      <c r="D6" s="28">
        <v>21214.14</v>
      </c>
      <c r="E6" s="28">
        <v>43865.52</v>
      </c>
      <c r="F6" s="20">
        <f>(D6-E6)/E6</f>
        <v>-0.51638234312507858</v>
      </c>
      <c r="G6" s="29">
        <v>2896</v>
      </c>
      <c r="H6" s="21">
        <v>180</v>
      </c>
      <c r="I6" s="11">
        <f t="shared" si="0"/>
        <v>16.088888888888889</v>
      </c>
      <c r="J6" s="22">
        <v>18</v>
      </c>
      <c r="K6" s="21">
        <v>2</v>
      </c>
      <c r="L6" s="28">
        <v>74277.899999999994</v>
      </c>
      <c r="M6" s="29">
        <v>10263</v>
      </c>
      <c r="N6" s="23">
        <v>45548</v>
      </c>
      <c r="O6" s="30" t="s">
        <v>11</v>
      </c>
    </row>
    <row r="7" spans="1:15" s="69" customFormat="1" ht="24.95" customHeight="1">
      <c r="A7" s="17">
        <v>5</v>
      </c>
      <c r="B7" s="22" t="s">
        <v>17</v>
      </c>
      <c r="C7" s="18" t="s">
        <v>258</v>
      </c>
      <c r="D7" s="28">
        <v>17843.96</v>
      </c>
      <c r="E7" s="28" t="s">
        <v>15</v>
      </c>
      <c r="F7" s="20" t="s">
        <v>15</v>
      </c>
      <c r="G7" s="29">
        <v>3166</v>
      </c>
      <c r="H7" s="21">
        <v>274</v>
      </c>
      <c r="I7" s="11">
        <f t="shared" si="0"/>
        <v>11.554744525547445</v>
      </c>
      <c r="J7" s="22">
        <v>25</v>
      </c>
      <c r="K7" s="21">
        <v>1</v>
      </c>
      <c r="L7" s="28">
        <v>22333.16</v>
      </c>
      <c r="M7" s="29">
        <v>3931</v>
      </c>
      <c r="N7" s="23">
        <v>45555</v>
      </c>
      <c r="O7" s="30" t="s">
        <v>259</v>
      </c>
    </row>
    <row r="8" spans="1:15" s="69" customFormat="1" ht="24.95" customHeight="1">
      <c r="A8" s="17">
        <v>6</v>
      </c>
      <c r="B8" s="22">
        <v>4</v>
      </c>
      <c r="C8" s="18" t="s">
        <v>246</v>
      </c>
      <c r="D8" s="28">
        <v>15993.3</v>
      </c>
      <c r="E8" s="28">
        <v>38630.949999999997</v>
      </c>
      <c r="F8" s="20">
        <f>(D8-E8)/E8</f>
        <v>-0.58599775568553192</v>
      </c>
      <c r="G8" s="29">
        <v>2315</v>
      </c>
      <c r="H8" s="21">
        <v>108</v>
      </c>
      <c r="I8" s="11">
        <f t="shared" si="0"/>
        <v>21.435185185185187</v>
      </c>
      <c r="J8" s="22">
        <v>13</v>
      </c>
      <c r="K8" s="21">
        <v>2</v>
      </c>
      <c r="L8" s="28">
        <v>56249.93</v>
      </c>
      <c r="M8" s="29">
        <v>7465</v>
      </c>
      <c r="N8" s="23">
        <v>45548</v>
      </c>
      <c r="O8" s="30" t="s">
        <v>63</v>
      </c>
    </row>
    <row r="9" spans="1:15" s="69" customFormat="1" ht="24.95" customHeight="1">
      <c r="A9" s="17">
        <v>7</v>
      </c>
      <c r="B9" s="22" t="s">
        <v>17</v>
      </c>
      <c r="C9" s="18" t="s">
        <v>253</v>
      </c>
      <c r="D9" s="28">
        <v>14252.43</v>
      </c>
      <c r="E9" s="20" t="s">
        <v>15</v>
      </c>
      <c r="F9" s="20" t="s">
        <v>15</v>
      </c>
      <c r="G9" s="29">
        <v>2088</v>
      </c>
      <c r="H9" s="21">
        <v>144</v>
      </c>
      <c r="I9" s="11">
        <f t="shared" si="0"/>
        <v>14.5</v>
      </c>
      <c r="J9" s="22">
        <v>12</v>
      </c>
      <c r="K9" s="21">
        <v>1</v>
      </c>
      <c r="L9" s="28">
        <v>14950.87</v>
      </c>
      <c r="M9" s="29">
        <v>2196</v>
      </c>
      <c r="N9" s="23">
        <v>45555</v>
      </c>
      <c r="O9" s="30" t="s">
        <v>11</v>
      </c>
    </row>
    <row r="10" spans="1:15" s="69" customFormat="1" ht="24.95" customHeight="1">
      <c r="A10" s="17">
        <v>8</v>
      </c>
      <c r="B10" s="22">
        <v>5</v>
      </c>
      <c r="C10" s="18" t="s">
        <v>146</v>
      </c>
      <c r="D10" s="28">
        <v>12167.09</v>
      </c>
      <c r="E10" s="28">
        <v>21184.39</v>
      </c>
      <c r="F10" s="20">
        <f>(D10-E10)/E10</f>
        <v>-0.42565776026593166</v>
      </c>
      <c r="G10" s="29">
        <v>2179</v>
      </c>
      <c r="H10" s="21">
        <v>140</v>
      </c>
      <c r="I10" s="11">
        <f t="shared" si="0"/>
        <v>15.564285714285715</v>
      </c>
      <c r="J10" s="22">
        <v>11</v>
      </c>
      <c r="K10" s="21">
        <v>12</v>
      </c>
      <c r="L10" s="28">
        <v>1148090.54</v>
      </c>
      <c r="M10" s="29">
        <v>199207</v>
      </c>
      <c r="N10" s="23">
        <v>45478</v>
      </c>
      <c r="O10" s="30" t="s">
        <v>63</v>
      </c>
    </row>
    <row r="11" spans="1:15" ht="24.95" customHeight="1">
      <c r="A11" s="17">
        <v>9</v>
      </c>
      <c r="B11" s="22">
        <v>6</v>
      </c>
      <c r="C11" s="18" t="s">
        <v>178</v>
      </c>
      <c r="D11" s="28">
        <v>9072.86</v>
      </c>
      <c r="E11" s="28">
        <v>16389.240000000002</v>
      </c>
      <c r="F11" s="20">
        <f>(D11-E11)/E11</f>
        <v>-0.44641362259628881</v>
      </c>
      <c r="G11" s="29">
        <v>1330</v>
      </c>
      <c r="H11" s="21">
        <v>68</v>
      </c>
      <c r="I11" s="11">
        <f t="shared" si="0"/>
        <v>19.558823529411764</v>
      </c>
      <c r="J11" s="22">
        <v>7</v>
      </c>
      <c r="K11" s="21">
        <v>9</v>
      </c>
      <c r="L11" s="28">
        <v>756989.48</v>
      </c>
      <c r="M11" s="29">
        <v>98306</v>
      </c>
      <c r="N11" s="23">
        <v>45499</v>
      </c>
      <c r="O11" s="30" t="s">
        <v>18</v>
      </c>
    </row>
    <row r="12" spans="1:15" s="69" customFormat="1" ht="24.95" customHeight="1">
      <c r="A12" s="17">
        <v>10</v>
      </c>
      <c r="B12" s="22">
        <v>7</v>
      </c>
      <c r="C12" s="18" t="s">
        <v>239</v>
      </c>
      <c r="D12" s="28">
        <v>7605.63</v>
      </c>
      <c r="E12" s="28">
        <v>15759.09</v>
      </c>
      <c r="F12" s="20">
        <f>(D12-E12)/E12</f>
        <v>-0.51738139702229002</v>
      </c>
      <c r="G12" s="29">
        <v>1468</v>
      </c>
      <c r="H12" s="21">
        <v>100</v>
      </c>
      <c r="I12" s="11">
        <f t="shared" si="0"/>
        <v>14.68</v>
      </c>
      <c r="J12" s="22">
        <v>13</v>
      </c>
      <c r="K12" s="21">
        <v>3</v>
      </c>
      <c r="L12" s="28">
        <v>37669.089999999997</v>
      </c>
      <c r="M12" s="29">
        <v>7232</v>
      </c>
      <c r="N12" s="23">
        <v>45541</v>
      </c>
      <c r="O12" s="30" t="s">
        <v>14</v>
      </c>
    </row>
    <row r="13" spans="1:15" s="69" customFormat="1" ht="24.95" customHeight="1">
      <c r="A13" s="17">
        <v>11</v>
      </c>
      <c r="B13" s="22" t="s">
        <v>23</v>
      </c>
      <c r="C13" s="18" t="s">
        <v>261</v>
      </c>
      <c r="D13" s="28">
        <v>7250.45</v>
      </c>
      <c r="E13" s="28" t="s">
        <v>15</v>
      </c>
      <c r="F13" s="20" t="s">
        <v>15</v>
      </c>
      <c r="G13" s="29">
        <v>1244</v>
      </c>
      <c r="H13" s="21">
        <v>17</v>
      </c>
      <c r="I13" s="11">
        <f t="shared" si="0"/>
        <v>73.17647058823529</v>
      </c>
      <c r="J13" s="22">
        <v>10</v>
      </c>
      <c r="K13" s="21">
        <v>0</v>
      </c>
      <c r="L13" s="28">
        <v>7250.45</v>
      </c>
      <c r="M13" s="29">
        <v>1244</v>
      </c>
      <c r="N13" s="23" t="s">
        <v>24</v>
      </c>
      <c r="O13" s="30" t="s">
        <v>11</v>
      </c>
    </row>
    <row r="14" spans="1:15" s="69" customFormat="1" ht="24.95" customHeight="1">
      <c r="A14" s="17">
        <v>12</v>
      </c>
      <c r="B14" s="22" t="s">
        <v>17</v>
      </c>
      <c r="C14" s="18" t="s">
        <v>264</v>
      </c>
      <c r="D14" s="28">
        <v>6985.18</v>
      </c>
      <c r="E14" s="28" t="s">
        <v>15</v>
      </c>
      <c r="F14" s="20" t="s">
        <v>15</v>
      </c>
      <c r="G14" s="29">
        <v>1162</v>
      </c>
      <c r="H14" s="21">
        <v>84</v>
      </c>
      <c r="I14" s="11">
        <f t="shared" si="0"/>
        <v>13.833333333333334</v>
      </c>
      <c r="J14" s="22">
        <v>11</v>
      </c>
      <c r="K14" s="21">
        <v>1</v>
      </c>
      <c r="L14" s="28">
        <v>6985.18</v>
      </c>
      <c r="M14" s="29">
        <v>1162</v>
      </c>
      <c r="N14" s="23">
        <v>45555</v>
      </c>
      <c r="O14" s="30" t="s">
        <v>265</v>
      </c>
    </row>
    <row r="15" spans="1:15" ht="24.95" customHeight="1">
      <c r="A15" s="17">
        <v>13</v>
      </c>
      <c r="B15" s="22">
        <v>8</v>
      </c>
      <c r="C15" s="18" t="s">
        <v>106</v>
      </c>
      <c r="D15" s="28">
        <v>6265.06</v>
      </c>
      <c r="E15" s="28">
        <v>11660.2</v>
      </c>
      <c r="F15" s="20">
        <f>(D15-E15)/E15</f>
        <v>-0.46269703778665888</v>
      </c>
      <c r="G15" s="29">
        <v>1145</v>
      </c>
      <c r="H15" s="21">
        <v>81</v>
      </c>
      <c r="I15" s="11">
        <f t="shared" si="0"/>
        <v>14.135802469135802</v>
      </c>
      <c r="J15" s="22">
        <v>10</v>
      </c>
      <c r="K15" s="21">
        <v>15</v>
      </c>
      <c r="L15" s="28">
        <v>1295840.08</v>
      </c>
      <c r="M15" s="29">
        <v>224216</v>
      </c>
      <c r="N15" s="23">
        <v>45457</v>
      </c>
      <c r="O15" s="30" t="s">
        <v>18</v>
      </c>
    </row>
    <row r="16" spans="1:15" s="69" customFormat="1" ht="24.95" customHeight="1">
      <c r="A16" s="17">
        <v>14</v>
      </c>
      <c r="B16" s="22" t="s">
        <v>17</v>
      </c>
      <c r="C16" s="18" t="s">
        <v>255</v>
      </c>
      <c r="D16" s="28">
        <v>4509.2700000000004</v>
      </c>
      <c r="E16" s="20" t="s">
        <v>15</v>
      </c>
      <c r="F16" s="20" t="s">
        <v>15</v>
      </c>
      <c r="G16" s="29">
        <v>717</v>
      </c>
      <c r="H16" s="21">
        <v>64</v>
      </c>
      <c r="I16" s="11">
        <f t="shared" si="0"/>
        <v>11.203125</v>
      </c>
      <c r="J16" s="22">
        <v>14</v>
      </c>
      <c r="K16" s="21">
        <v>1</v>
      </c>
      <c r="L16" s="28">
        <v>4831.57</v>
      </c>
      <c r="M16" s="29" t="s">
        <v>266</v>
      </c>
      <c r="N16" s="23">
        <v>45555</v>
      </c>
      <c r="O16" s="30" t="s">
        <v>25</v>
      </c>
    </row>
    <row r="17" spans="1:15" s="69" customFormat="1" ht="24.95" customHeight="1">
      <c r="A17" s="17">
        <v>15</v>
      </c>
      <c r="B17" s="22">
        <v>9</v>
      </c>
      <c r="C17" s="18" t="s">
        <v>242</v>
      </c>
      <c r="D17" s="28">
        <v>3279.26</v>
      </c>
      <c r="E17" s="28">
        <v>8540.99</v>
      </c>
      <c r="F17" s="20">
        <v>-0.61605621830724533</v>
      </c>
      <c r="G17" s="29">
        <v>483</v>
      </c>
      <c r="H17" s="21">
        <v>10</v>
      </c>
      <c r="I17" s="22">
        <f t="shared" si="0"/>
        <v>48.3</v>
      </c>
      <c r="J17" s="22">
        <v>5</v>
      </c>
      <c r="K17" s="21">
        <v>3</v>
      </c>
      <c r="L17" s="28">
        <v>26722.43</v>
      </c>
      <c r="M17" s="29">
        <v>3984</v>
      </c>
      <c r="N17" s="23">
        <v>45541</v>
      </c>
      <c r="O17" s="30" t="s">
        <v>243</v>
      </c>
    </row>
    <row r="18" spans="1:15" s="69" customFormat="1" ht="24.95" customHeight="1">
      <c r="A18" s="17">
        <v>16</v>
      </c>
      <c r="B18" s="22">
        <v>11</v>
      </c>
      <c r="C18" s="18" t="s">
        <v>203</v>
      </c>
      <c r="D18" s="28">
        <v>3159.02</v>
      </c>
      <c r="E18" s="28">
        <v>7198.61</v>
      </c>
      <c r="F18" s="20">
        <f t="shared" ref="F18:F25" si="1">(D18-E18)/E18</f>
        <v>-0.56116250220528685</v>
      </c>
      <c r="G18" s="29">
        <v>484</v>
      </c>
      <c r="H18" s="21">
        <v>22</v>
      </c>
      <c r="I18" s="11">
        <f t="shared" si="0"/>
        <v>22</v>
      </c>
      <c r="J18" s="22">
        <v>5</v>
      </c>
      <c r="K18" s="21">
        <v>6</v>
      </c>
      <c r="L18" s="28">
        <v>139872.41</v>
      </c>
      <c r="M18" s="29">
        <v>19692</v>
      </c>
      <c r="N18" s="23">
        <v>45520</v>
      </c>
      <c r="O18" s="30" t="s">
        <v>18</v>
      </c>
    </row>
    <row r="19" spans="1:15" s="69" customFormat="1" ht="24.95" customHeight="1">
      <c r="A19" s="17">
        <v>17</v>
      </c>
      <c r="B19" s="22">
        <v>14</v>
      </c>
      <c r="C19" s="18" t="s">
        <v>206</v>
      </c>
      <c r="D19" s="28">
        <v>1454.7</v>
      </c>
      <c r="E19" s="28">
        <v>4423.4399999999996</v>
      </c>
      <c r="F19" s="20">
        <f t="shared" si="1"/>
        <v>-0.67113829960392812</v>
      </c>
      <c r="G19" s="29">
        <v>209</v>
      </c>
      <c r="H19" s="21">
        <v>13</v>
      </c>
      <c r="I19" s="11">
        <f t="shared" si="0"/>
        <v>16.076923076923077</v>
      </c>
      <c r="J19" s="22">
        <v>2</v>
      </c>
      <c r="K19" s="21">
        <v>5</v>
      </c>
      <c r="L19" s="28">
        <v>59535.17</v>
      </c>
      <c r="M19" s="29">
        <v>9559</v>
      </c>
      <c r="N19" s="23">
        <v>45527</v>
      </c>
      <c r="O19" s="30" t="s">
        <v>12</v>
      </c>
    </row>
    <row r="20" spans="1:15" s="69" customFormat="1" ht="24.95" customHeight="1">
      <c r="A20" s="17">
        <v>18</v>
      </c>
      <c r="B20" s="22">
        <v>12</v>
      </c>
      <c r="C20" s="18" t="s">
        <v>249</v>
      </c>
      <c r="D20" s="28">
        <v>1249</v>
      </c>
      <c r="E20" s="28">
        <v>5154</v>
      </c>
      <c r="F20" s="20">
        <f t="shared" si="1"/>
        <v>-0.75766395032984091</v>
      </c>
      <c r="G20" s="29">
        <v>332</v>
      </c>
      <c r="H20" s="22" t="s">
        <v>15</v>
      </c>
      <c r="I20" s="22" t="s">
        <v>15</v>
      </c>
      <c r="J20" s="22">
        <v>14</v>
      </c>
      <c r="K20" s="21">
        <v>2</v>
      </c>
      <c r="L20" s="28">
        <v>6404</v>
      </c>
      <c r="M20" s="29">
        <v>1365</v>
      </c>
      <c r="N20" s="23">
        <v>45548</v>
      </c>
      <c r="O20" s="30" t="s">
        <v>13</v>
      </c>
    </row>
    <row r="21" spans="1:15" s="69" customFormat="1" ht="24.95" customHeight="1">
      <c r="A21" s="17">
        <v>19</v>
      </c>
      <c r="B21" s="22">
        <v>15</v>
      </c>
      <c r="C21" s="18" t="s">
        <v>193</v>
      </c>
      <c r="D21" s="28">
        <v>1087.5999999999999</v>
      </c>
      <c r="E21" s="28">
        <v>2703.53</v>
      </c>
      <c r="F21" s="20">
        <f t="shared" si="1"/>
        <v>-0.59771114061985631</v>
      </c>
      <c r="G21" s="29">
        <v>209</v>
      </c>
      <c r="H21" s="21">
        <v>19</v>
      </c>
      <c r="I21" s="22">
        <f>G21/H21</f>
        <v>11</v>
      </c>
      <c r="J21" s="22">
        <v>3</v>
      </c>
      <c r="K21" s="21">
        <v>7</v>
      </c>
      <c r="L21" s="28">
        <v>70615.509999999995</v>
      </c>
      <c r="M21" s="29">
        <v>13843</v>
      </c>
      <c r="N21" s="23">
        <v>45513</v>
      </c>
      <c r="O21" s="30" t="s">
        <v>11</v>
      </c>
    </row>
    <row r="22" spans="1:15" s="69" customFormat="1" ht="24.95" customHeight="1">
      <c r="A22" s="17">
        <v>20</v>
      </c>
      <c r="B22" s="22">
        <v>21</v>
      </c>
      <c r="C22" s="18" t="s">
        <v>208</v>
      </c>
      <c r="D22" s="28">
        <v>731.19</v>
      </c>
      <c r="E22" s="28">
        <v>533.17999999999995</v>
      </c>
      <c r="F22" s="20">
        <f t="shared" si="1"/>
        <v>0.37137552046213307</v>
      </c>
      <c r="G22" s="29">
        <v>211</v>
      </c>
      <c r="H22" s="22" t="s">
        <v>15</v>
      </c>
      <c r="I22" s="22" t="s">
        <v>15</v>
      </c>
      <c r="J22" s="22">
        <v>2</v>
      </c>
      <c r="K22" s="21">
        <v>6</v>
      </c>
      <c r="L22" s="28">
        <v>26899.83</v>
      </c>
      <c r="M22" s="29">
        <v>5233</v>
      </c>
      <c r="N22" s="23">
        <v>45520</v>
      </c>
      <c r="O22" s="30" t="s">
        <v>209</v>
      </c>
    </row>
    <row r="23" spans="1:15" s="69" customFormat="1" ht="24.95" customHeight="1">
      <c r="A23" s="17">
        <v>21</v>
      </c>
      <c r="B23" s="22">
        <v>16</v>
      </c>
      <c r="C23" s="18" t="s">
        <v>250</v>
      </c>
      <c r="D23" s="28">
        <v>430</v>
      </c>
      <c r="E23" s="28">
        <v>1194.68</v>
      </c>
      <c r="F23" s="20">
        <f t="shared" si="1"/>
        <v>-0.64007098135065454</v>
      </c>
      <c r="G23" s="29">
        <v>86</v>
      </c>
      <c r="H23" s="21">
        <v>7</v>
      </c>
      <c r="I23" s="22">
        <f>G23/H23</f>
        <v>12.285714285714286</v>
      </c>
      <c r="J23" s="22">
        <v>3</v>
      </c>
      <c r="K23" s="21">
        <v>2</v>
      </c>
      <c r="L23" s="28">
        <v>1624.68</v>
      </c>
      <c r="M23" s="29">
        <v>313</v>
      </c>
      <c r="N23" s="23">
        <v>45548</v>
      </c>
      <c r="O23" s="30" t="s">
        <v>251</v>
      </c>
    </row>
    <row r="24" spans="1:15" s="69" customFormat="1" ht="24.95" customHeight="1">
      <c r="A24" s="17">
        <v>22</v>
      </c>
      <c r="B24" s="22">
        <v>17</v>
      </c>
      <c r="C24" s="18" t="s">
        <v>222</v>
      </c>
      <c r="D24" s="28">
        <v>404.66</v>
      </c>
      <c r="E24" s="28">
        <v>1010.18</v>
      </c>
      <c r="F24" s="20">
        <f t="shared" si="1"/>
        <v>-0.59941792551822448</v>
      </c>
      <c r="G24" s="29">
        <v>59</v>
      </c>
      <c r="H24" s="21">
        <v>4</v>
      </c>
      <c r="I24" s="22">
        <f>G24/H24</f>
        <v>14.75</v>
      </c>
      <c r="J24" s="22">
        <v>1</v>
      </c>
      <c r="K24" s="21">
        <v>4</v>
      </c>
      <c r="L24" s="28">
        <v>22197.78</v>
      </c>
      <c r="M24" s="29">
        <v>3471</v>
      </c>
      <c r="N24" s="23">
        <v>45534</v>
      </c>
      <c r="O24" s="30" t="s">
        <v>66</v>
      </c>
    </row>
    <row r="25" spans="1:15" s="69" customFormat="1" ht="24.95" customHeight="1">
      <c r="A25" s="17">
        <v>23</v>
      </c>
      <c r="B25" s="22">
        <v>10</v>
      </c>
      <c r="C25" s="18" t="s">
        <v>248</v>
      </c>
      <c r="D25" s="28">
        <v>249.41</v>
      </c>
      <c r="E25" s="28">
        <v>7422.13</v>
      </c>
      <c r="F25" s="20">
        <f t="shared" si="1"/>
        <v>-0.96639643875814629</v>
      </c>
      <c r="G25" s="29">
        <v>43</v>
      </c>
      <c r="H25" s="22" t="s">
        <v>15</v>
      </c>
      <c r="I25" s="22" t="s">
        <v>15</v>
      </c>
      <c r="J25" s="22">
        <v>1</v>
      </c>
      <c r="K25" s="21">
        <v>2</v>
      </c>
      <c r="L25" s="28">
        <v>7740.83</v>
      </c>
      <c r="M25" s="29">
        <v>1119</v>
      </c>
      <c r="N25" s="23">
        <v>45548</v>
      </c>
      <c r="O25" s="30" t="s">
        <v>209</v>
      </c>
    </row>
    <row r="26" spans="1:15" ht="24.95" customHeight="1">
      <c r="A26" s="17">
        <v>24</v>
      </c>
      <c r="B26" s="21" t="s">
        <v>15</v>
      </c>
      <c r="C26" s="18" t="s">
        <v>148</v>
      </c>
      <c r="D26" s="28">
        <v>217</v>
      </c>
      <c r="E26" s="28" t="s">
        <v>15</v>
      </c>
      <c r="F26" s="20" t="s">
        <v>15</v>
      </c>
      <c r="G26" s="29">
        <v>56</v>
      </c>
      <c r="H26" s="21">
        <v>2</v>
      </c>
      <c r="I26" s="22">
        <f>G26/H26</f>
        <v>28</v>
      </c>
      <c r="J26" s="22">
        <v>2</v>
      </c>
      <c r="K26" s="21" t="s">
        <v>15</v>
      </c>
      <c r="L26" s="28">
        <v>5827.14</v>
      </c>
      <c r="M26" s="29">
        <v>1018</v>
      </c>
      <c r="N26" s="23">
        <v>45471</v>
      </c>
      <c r="O26" s="30" t="s">
        <v>82</v>
      </c>
    </row>
    <row r="27" spans="1:15" ht="24.95" customHeight="1">
      <c r="A27" s="17">
        <v>25</v>
      </c>
      <c r="B27" s="22">
        <v>20</v>
      </c>
      <c r="C27" s="18" t="s">
        <v>147</v>
      </c>
      <c r="D27" s="28">
        <v>112</v>
      </c>
      <c r="E27" s="28">
        <v>581.4</v>
      </c>
      <c r="F27" s="20">
        <f>(D27-E27)/E27</f>
        <v>-0.80736154110767111</v>
      </c>
      <c r="G27" s="29">
        <v>20</v>
      </c>
      <c r="H27" s="21">
        <v>1</v>
      </c>
      <c r="I27" s="22">
        <f>G27/H27</f>
        <v>20</v>
      </c>
      <c r="J27" s="22">
        <v>1</v>
      </c>
      <c r="K27" s="21">
        <v>12</v>
      </c>
      <c r="L27" s="28">
        <v>54532.46</v>
      </c>
      <c r="M27" s="29">
        <v>8258</v>
      </c>
      <c r="N27" s="23">
        <v>45478</v>
      </c>
      <c r="O27" s="30" t="s">
        <v>18</v>
      </c>
    </row>
    <row r="28" spans="1:15" s="69" customFormat="1" ht="24.95" customHeight="1">
      <c r="A28" s="17">
        <v>26</v>
      </c>
      <c r="B28" s="22">
        <v>27</v>
      </c>
      <c r="C28" s="18" t="s">
        <v>232</v>
      </c>
      <c r="D28" s="28">
        <v>100</v>
      </c>
      <c r="E28" s="28">
        <v>212</v>
      </c>
      <c r="F28" s="20">
        <f>(D28-E28)/E28</f>
        <v>-0.52830188679245282</v>
      </c>
      <c r="G28" s="29">
        <v>76</v>
      </c>
      <c r="H28" s="22" t="s">
        <v>15</v>
      </c>
      <c r="I28" s="22" t="s">
        <v>15</v>
      </c>
      <c r="J28" s="22">
        <v>1</v>
      </c>
      <c r="K28" s="21">
        <v>4</v>
      </c>
      <c r="L28" s="28">
        <v>6337</v>
      </c>
      <c r="M28" s="29">
        <v>1041</v>
      </c>
      <c r="N28" s="23">
        <v>45534</v>
      </c>
      <c r="O28" s="30" t="s">
        <v>13</v>
      </c>
    </row>
    <row r="29" spans="1:15" s="69" customFormat="1" ht="24.95" customHeight="1">
      <c r="A29" s="17">
        <v>27</v>
      </c>
      <c r="B29" s="22" t="s">
        <v>15</v>
      </c>
      <c r="C29" s="18" t="s">
        <v>47</v>
      </c>
      <c r="D29" s="28">
        <v>100</v>
      </c>
      <c r="E29" s="28" t="s">
        <v>15</v>
      </c>
      <c r="F29" s="20" t="s">
        <v>15</v>
      </c>
      <c r="G29" s="29">
        <v>27</v>
      </c>
      <c r="H29" s="21">
        <v>1</v>
      </c>
      <c r="I29" s="22">
        <f>G29/H29</f>
        <v>27</v>
      </c>
      <c r="J29" s="22">
        <v>1</v>
      </c>
      <c r="K29" s="21" t="s">
        <v>15</v>
      </c>
      <c r="L29" s="28">
        <v>24516.26</v>
      </c>
      <c r="M29" s="29">
        <v>4070</v>
      </c>
      <c r="N29" s="23">
        <v>45359</v>
      </c>
      <c r="O29" s="30" t="s">
        <v>66</v>
      </c>
    </row>
    <row r="30" spans="1:15" ht="24.95" customHeight="1">
      <c r="A30" s="17">
        <v>28</v>
      </c>
      <c r="B30" s="22">
        <v>26</v>
      </c>
      <c r="C30" s="18" t="s">
        <v>223</v>
      </c>
      <c r="D30" s="28">
        <v>89</v>
      </c>
      <c r="E30" s="28">
        <v>249</v>
      </c>
      <c r="F30" s="20">
        <f t="shared" ref="F30:F36" si="2">(D30-E30)/E30</f>
        <v>-0.64257028112449799</v>
      </c>
      <c r="G30" s="29">
        <v>18</v>
      </c>
      <c r="H30" s="22" t="s">
        <v>15</v>
      </c>
      <c r="I30" s="22" t="s">
        <v>15</v>
      </c>
      <c r="J30" s="22">
        <v>2</v>
      </c>
      <c r="K30" s="21">
        <v>5</v>
      </c>
      <c r="L30" s="28">
        <v>15695</v>
      </c>
      <c r="M30" s="29">
        <v>3301</v>
      </c>
      <c r="N30" s="23">
        <v>45527</v>
      </c>
      <c r="O30" s="30" t="s">
        <v>13</v>
      </c>
    </row>
    <row r="31" spans="1:15" s="69" customFormat="1" ht="24.95" customHeight="1">
      <c r="A31" s="17">
        <v>29</v>
      </c>
      <c r="B31" s="22">
        <v>33</v>
      </c>
      <c r="C31" s="18" t="s">
        <v>149</v>
      </c>
      <c r="D31" s="28">
        <v>81</v>
      </c>
      <c r="E31" s="28">
        <v>60.4</v>
      </c>
      <c r="F31" s="20">
        <f t="shared" si="2"/>
        <v>0.34105960264900664</v>
      </c>
      <c r="G31" s="29">
        <v>14</v>
      </c>
      <c r="H31" s="21">
        <v>1</v>
      </c>
      <c r="I31" s="22">
        <f>G31/H31</f>
        <v>14</v>
      </c>
      <c r="J31" s="22">
        <v>1</v>
      </c>
      <c r="K31" s="21" t="s">
        <v>15</v>
      </c>
      <c r="L31" s="28">
        <v>216320</v>
      </c>
      <c r="M31" s="29">
        <v>33475</v>
      </c>
      <c r="N31" s="23">
        <v>45191</v>
      </c>
      <c r="O31" s="30" t="s">
        <v>25</v>
      </c>
    </row>
    <row r="32" spans="1:15" ht="24.95" customHeight="1">
      <c r="A32" s="17">
        <v>30</v>
      </c>
      <c r="B32" s="22">
        <v>36</v>
      </c>
      <c r="C32" s="18" t="s">
        <v>176</v>
      </c>
      <c r="D32" s="28">
        <v>40</v>
      </c>
      <c r="E32" s="28">
        <v>35</v>
      </c>
      <c r="F32" s="20">
        <f t="shared" si="2"/>
        <v>0.14285714285714285</v>
      </c>
      <c r="G32" s="29">
        <v>8</v>
      </c>
      <c r="H32" s="22" t="s">
        <v>15</v>
      </c>
      <c r="I32" s="22" t="s">
        <v>15</v>
      </c>
      <c r="J32" s="22">
        <v>1</v>
      </c>
      <c r="K32" s="21">
        <v>10</v>
      </c>
      <c r="L32" s="28">
        <v>10960</v>
      </c>
      <c r="M32" s="29">
        <v>2368</v>
      </c>
      <c r="N32" s="23">
        <v>45492</v>
      </c>
      <c r="O32" s="30" t="s">
        <v>13</v>
      </c>
    </row>
    <row r="33" spans="1:15" ht="24.95" customHeight="1">
      <c r="A33" s="17">
        <v>31</v>
      </c>
      <c r="B33" s="22">
        <v>19</v>
      </c>
      <c r="C33" s="18" t="s">
        <v>165</v>
      </c>
      <c r="D33" s="28">
        <v>33.6</v>
      </c>
      <c r="E33" s="28">
        <v>597.6</v>
      </c>
      <c r="F33" s="20">
        <f t="shared" si="2"/>
        <v>-0.94377510040160639</v>
      </c>
      <c r="G33" s="29">
        <v>4</v>
      </c>
      <c r="H33" s="21">
        <v>1</v>
      </c>
      <c r="I33" s="22">
        <f>G33/H33</f>
        <v>4</v>
      </c>
      <c r="J33" s="22">
        <v>1</v>
      </c>
      <c r="K33" s="21">
        <v>10</v>
      </c>
      <c r="L33" s="28">
        <v>162259.94</v>
      </c>
      <c r="M33" s="29">
        <v>23697</v>
      </c>
      <c r="N33" s="23">
        <v>45492</v>
      </c>
      <c r="O33" s="30" t="s">
        <v>66</v>
      </c>
    </row>
    <row r="34" spans="1:15" ht="24.95" customHeight="1">
      <c r="A34" s="17">
        <v>32</v>
      </c>
      <c r="B34" s="22">
        <v>22</v>
      </c>
      <c r="C34" s="18" t="s">
        <v>221</v>
      </c>
      <c r="D34" s="28">
        <v>16</v>
      </c>
      <c r="E34" s="28">
        <v>491.9</v>
      </c>
      <c r="F34" s="20">
        <f t="shared" si="2"/>
        <v>-0.96747306363081931</v>
      </c>
      <c r="G34" s="29">
        <v>4</v>
      </c>
      <c r="H34" s="21">
        <v>2</v>
      </c>
      <c r="I34" s="22">
        <f>G34/H34</f>
        <v>2</v>
      </c>
      <c r="J34" s="22">
        <v>2</v>
      </c>
      <c r="K34" s="21">
        <v>4</v>
      </c>
      <c r="L34" s="28">
        <v>20574.650000000001</v>
      </c>
      <c r="M34" s="29">
        <v>4326</v>
      </c>
      <c r="N34" s="23">
        <v>45534</v>
      </c>
      <c r="O34" s="30" t="s">
        <v>66</v>
      </c>
    </row>
    <row r="35" spans="1:15" s="69" customFormat="1" ht="24.95" customHeight="1">
      <c r="A35" s="17">
        <v>33</v>
      </c>
      <c r="B35" s="22">
        <v>34</v>
      </c>
      <c r="C35" s="18" t="s">
        <v>244</v>
      </c>
      <c r="D35" s="28">
        <v>11</v>
      </c>
      <c r="E35" s="28">
        <v>60.09</v>
      </c>
      <c r="F35" s="20">
        <f t="shared" si="2"/>
        <v>-0.81694125478448998</v>
      </c>
      <c r="G35" s="29">
        <v>3</v>
      </c>
      <c r="H35" s="21">
        <v>3</v>
      </c>
      <c r="I35" s="22">
        <f>G35/H35</f>
        <v>1</v>
      </c>
      <c r="J35" s="22">
        <v>1</v>
      </c>
      <c r="K35" s="21">
        <v>3</v>
      </c>
      <c r="L35" s="28">
        <v>367.83</v>
      </c>
      <c r="M35" s="29">
        <v>78</v>
      </c>
      <c r="N35" s="23">
        <v>45541</v>
      </c>
      <c r="O35" s="30" t="s">
        <v>245</v>
      </c>
    </row>
    <row r="36" spans="1:15" s="69" customFormat="1" ht="24.95" customHeight="1">
      <c r="A36" s="17">
        <v>34</v>
      </c>
      <c r="B36" s="22">
        <v>29</v>
      </c>
      <c r="C36" s="18" t="s">
        <v>185</v>
      </c>
      <c r="D36" s="28">
        <v>10</v>
      </c>
      <c r="E36" s="28">
        <v>154</v>
      </c>
      <c r="F36" s="20">
        <f t="shared" si="2"/>
        <v>-0.93506493506493504</v>
      </c>
      <c r="G36" s="29">
        <v>2</v>
      </c>
      <c r="H36" s="21">
        <v>1</v>
      </c>
      <c r="I36" s="22">
        <f>G36/H36</f>
        <v>2</v>
      </c>
      <c r="J36" s="22">
        <v>1</v>
      </c>
      <c r="K36" s="21">
        <v>9</v>
      </c>
      <c r="L36" s="28">
        <v>38638.020000000004</v>
      </c>
      <c r="M36" s="29">
        <v>7739</v>
      </c>
      <c r="N36" s="23">
        <v>45499</v>
      </c>
      <c r="O36" s="30" t="s">
        <v>14</v>
      </c>
    </row>
    <row r="37" spans="1:15" ht="24.95" customHeight="1">
      <c r="A37" s="46"/>
      <c r="B37" s="57" t="s">
        <v>26</v>
      </c>
      <c r="C37" s="48" t="s">
        <v>229</v>
      </c>
      <c r="D37" s="49">
        <f>SUBTOTAL(109,Table13245678910111213141517161828[Pajamos 
(GBO)])</f>
        <v>296700.71999999991</v>
      </c>
      <c r="E37" s="49" t="s">
        <v>247</v>
      </c>
      <c r="F37" s="50">
        <f t="shared" ref="F37" si="3">(D37-E37)/E37</f>
        <v>0.37397702171406305</v>
      </c>
      <c r="G37" s="52">
        <f>SUBTOTAL(109,Table13245678910111213141517161828[Žiūrovų sk. 
(ADM)])</f>
        <v>45474</v>
      </c>
      <c r="H37" s="57"/>
      <c r="I37" s="46"/>
      <c r="J37" s="46"/>
      <c r="K37" s="57"/>
      <c r="L37" s="54"/>
      <c r="M37" s="57"/>
      <c r="N37" s="46"/>
      <c r="O37" s="46" t="s">
        <v>26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06E9B-9201-4972-80C1-C65C2144CBC8}">
  <sheetPr>
    <pageSetUpPr fitToPage="1"/>
  </sheetPr>
  <dimension ref="A1:XFC39"/>
  <sheetViews>
    <sheetView zoomScale="60" zoomScaleNormal="60" workbookViewId="0">
      <selection activeCell="C26" sqref="C26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58" customWidth="1"/>
    <col min="12" max="12" width="20.7109375" style="43" customWidth="1"/>
    <col min="13" max="13" width="20.7109375" style="58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3" t="s">
        <v>252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22">
        <v>1</v>
      </c>
      <c r="C3" s="18" t="s">
        <v>234</v>
      </c>
      <c r="D3" s="28">
        <v>51495.73</v>
      </c>
      <c r="E3" s="28">
        <v>50454.91</v>
      </c>
      <c r="F3" s="20">
        <f>(D3-E3)/E3</f>
        <v>2.0628715817746966E-2</v>
      </c>
      <c r="G3" s="29">
        <v>7247</v>
      </c>
      <c r="H3" s="21">
        <v>270</v>
      </c>
      <c r="I3" s="22">
        <f t="shared" ref="I3:I8" si="0">G3/H3</f>
        <v>26.840740740740742</v>
      </c>
      <c r="J3" s="22">
        <v>17</v>
      </c>
      <c r="K3" s="21">
        <v>2</v>
      </c>
      <c r="L3" s="28">
        <v>107858.7</v>
      </c>
      <c r="M3" s="29">
        <v>15636</v>
      </c>
      <c r="N3" s="23">
        <v>45541</v>
      </c>
      <c r="O3" s="30" t="s">
        <v>12</v>
      </c>
    </row>
    <row r="4" spans="1:18" s="24" customFormat="1" ht="24.95" customHeight="1">
      <c r="A4" s="17">
        <v>2</v>
      </c>
      <c r="B4" s="22" t="s">
        <v>17</v>
      </c>
      <c r="C4" s="18" t="s">
        <v>240</v>
      </c>
      <c r="D4" s="19">
        <v>43865.52</v>
      </c>
      <c r="E4" s="28" t="s">
        <v>15</v>
      </c>
      <c r="F4" s="20" t="s">
        <v>15</v>
      </c>
      <c r="G4" s="21">
        <v>6209</v>
      </c>
      <c r="H4" s="21">
        <v>263</v>
      </c>
      <c r="I4" s="22">
        <f t="shared" si="0"/>
        <v>23.608365019011408</v>
      </c>
      <c r="J4" s="22">
        <v>19</v>
      </c>
      <c r="K4" s="21">
        <v>1</v>
      </c>
      <c r="L4" s="19">
        <v>53005.26</v>
      </c>
      <c r="M4" s="21">
        <v>7358</v>
      </c>
      <c r="N4" s="23">
        <v>45548</v>
      </c>
      <c r="O4" s="30" t="s">
        <v>11</v>
      </c>
      <c r="R4" s="17"/>
    </row>
    <row r="5" spans="1:18" s="24" customFormat="1" ht="24.95" customHeight="1">
      <c r="A5" s="17">
        <v>3</v>
      </c>
      <c r="B5" s="22">
        <v>2</v>
      </c>
      <c r="C5" s="18" t="s">
        <v>191</v>
      </c>
      <c r="D5" s="19">
        <v>42788.639999999999</v>
      </c>
      <c r="E5" s="19">
        <v>46823.839999999997</v>
      </c>
      <c r="F5" s="20">
        <f>(D5-E5)/E5</f>
        <v>-8.6178322837255503E-2</v>
      </c>
      <c r="G5" s="21">
        <v>6105</v>
      </c>
      <c r="H5" s="21">
        <v>215</v>
      </c>
      <c r="I5" s="22">
        <f t="shared" si="0"/>
        <v>28.395348837209301</v>
      </c>
      <c r="J5" s="22">
        <v>17</v>
      </c>
      <c r="K5" s="21">
        <v>6</v>
      </c>
      <c r="L5" s="19">
        <v>799589.05</v>
      </c>
      <c r="M5" s="21">
        <v>110416</v>
      </c>
      <c r="N5" s="23">
        <v>45513</v>
      </c>
      <c r="O5" s="30" t="s">
        <v>61</v>
      </c>
      <c r="R5" s="17"/>
    </row>
    <row r="6" spans="1:18" s="24" customFormat="1" ht="24.95" customHeight="1">
      <c r="A6" s="17">
        <v>4</v>
      </c>
      <c r="B6" s="22" t="s">
        <v>17</v>
      </c>
      <c r="C6" s="18" t="s">
        <v>246</v>
      </c>
      <c r="D6" s="19">
        <v>38630.949999999997</v>
      </c>
      <c r="E6" s="28" t="s">
        <v>15</v>
      </c>
      <c r="F6" s="20" t="s">
        <v>15</v>
      </c>
      <c r="G6" s="21">
        <v>4926</v>
      </c>
      <c r="H6" s="21">
        <v>225</v>
      </c>
      <c r="I6" s="22">
        <f t="shared" si="0"/>
        <v>21.893333333333334</v>
      </c>
      <c r="J6" s="22">
        <v>18</v>
      </c>
      <c r="K6" s="21">
        <v>1</v>
      </c>
      <c r="L6" s="19">
        <v>40256.629999999997</v>
      </c>
      <c r="M6" s="21">
        <v>5150</v>
      </c>
      <c r="N6" s="23">
        <v>45548</v>
      </c>
      <c r="O6" s="30" t="s">
        <v>63</v>
      </c>
      <c r="R6" s="17"/>
    </row>
    <row r="7" spans="1:18" s="24" customFormat="1" ht="24.95" customHeight="1">
      <c r="A7" s="17">
        <v>5</v>
      </c>
      <c r="B7" s="22">
        <v>7</v>
      </c>
      <c r="C7" s="18" t="s">
        <v>146</v>
      </c>
      <c r="D7" s="19">
        <v>21184.39</v>
      </c>
      <c r="E7" s="19">
        <v>12261.82</v>
      </c>
      <c r="F7" s="20">
        <f>(D7-E7)/E7</f>
        <v>0.72767093302625552</v>
      </c>
      <c r="G7" s="21">
        <v>3549</v>
      </c>
      <c r="H7" s="21">
        <v>168</v>
      </c>
      <c r="I7" s="22">
        <f t="shared" si="0"/>
        <v>21.125</v>
      </c>
      <c r="J7" s="22">
        <v>13</v>
      </c>
      <c r="K7" s="21">
        <v>11</v>
      </c>
      <c r="L7" s="19">
        <v>1135923.45</v>
      </c>
      <c r="M7" s="21">
        <v>197028</v>
      </c>
      <c r="N7" s="23">
        <v>45478</v>
      </c>
      <c r="O7" s="30" t="s">
        <v>63</v>
      </c>
      <c r="R7" s="17"/>
    </row>
    <row r="8" spans="1:18" s="24" customFormat="1" ht="24.95" customHeight="1">
      <c r="A8" s="17">
        <v>6</v>
      </c>
      <c r="B8" s="22">
        <v>3</v>
      </c>
      <c r="C8" s="18" t="s">
        <v>178</v>
      </c>
      <c r="D8" s="19">
        <v>16389.240000000002</v>
      </c>
      <c r="E8" s="19">
        <v>18251.71</v>
      </c>
      <c r="F8" s="20">
        <f>(D8-E8)/E8</f>
        <v>-0.10204358934039592</v>
      </c>
      <c r="G8" s="21">
        <v>2248</v>
      </c>
      <c r="H8" s="21">
        <v>127</v>
      </c>
      <c r="I8" s="22">
        <f t="shared" si="0"/>
        <v>17.700787401574804</v>
      </c>
      <c r="J8" s="22">
        <v>8</v>
      </c>
      <c r="K8" s="21">
        <v>8</v>
      </c>
      <c r="L8" s="19">
        <v>747916.62</v>
      </c>
      <c r="M8" s="21">
        <v>96976</v>
      </c>
      <c r="N8" s="23">
        <v>45499</v>
      </c>
      <c r="O8" s="30" t="s">
        <v>18</v>
      </c>
      <c r="R8" s="17"/>
    </row>
    <row r="9" spans="1:18" s="24" customFormat="1" ht="24.95" customHeight="1">
      <c r="A9" s="17">
        <v>7</v>
      </c>
      <c r="B9" s="22">
        <v>4</v>
      </c>
      <c r="C9" s="25" t="s">
        <v>239</v>
      </c>
      <c r="D9" s="19">
        <v>15759.09</v>
      </c>
      <c r="E9" s="19">
        <v>14304.37</v>
      </c>
      <c r="F9" s="20">
        <f>(D9-E9)/E9</f>
        <v>0.10169759311315348</v>
      </c>
      <c r="G9" s="21">
        <v>2855</v>
      </c>
      <c r="H9" s="22" t="s">
        <v>15</v>
      </c>
      <c r="I9" s="22" t="s">
        <v>15</v>
      </c>
      <c r="J9" s="22">
        <v>17</v>
      </c>
      <c r="K9" s="22">
        <v>2</v>
      </c>
      <c r="L9" s="19">
        <v>30063.46</v>
      </c>
      <c r="M9" s="21">
        <v>5764</v>
      </c>
      <c r="N9" s="23">
        <v>45541</v>
      </c>
      <c r="O9" s="30" t="s">
        <v>14</v>
      </c>
      <c r="R9" s="17"/>
    </row>
    <row r="10" spans="1:18" s="24" customFormat="1" ht="24.75" customHeight="1">
      <c r="A10" s="17">
        <v>8</v>
      </c>
      <c r="B10" s="22">
        <v>10</v>
      </c>
      <c r="C10" s="25" t="s">
        <v>106</v>
      </c>
      <c r="D10" s="19">
        <v>11660.2</v>
      </c>
      <c r="E10" s="19">
        <v>8230.1200000000008</v>
      </c>
      <c r="F10" s="20">
        <f>(D10-E10)/E10</f>
        <v>0.4167715659066939</v>
      </c>
      <c r="G10" s="21">
        <v>2077</v>
      </c>
      <c r="H10" s="21">
        <v>94</v>
      </c>
      <c r="I10" s="22">
        <f>G10/H10</f>
        <v>22.095744680851062</v>
      </c>
      <c r="J10" s="22">
        <v>11</v>
      </c>
      <c r="K10" s="21">
        <v>14</v>
      </c>
      <c r="L10" s="19">
        <v>1289575.02</v>
      </c>
      <c r="M10" s="21">
        <v>223071</v>
      </c>
      <c r="N10" s="23">
        <v>45457</v>
      </c>
      <c r="O10" s="30" t="s">
        <v>18</v>
      </c>
      <c r="R10" s="17"/>
    </row>
    <row r="11" spans="1:18" s="24" customFormat="1" ht="24.95" customHeight="1">
      <c r="A11" s="17">
        <v>9</v>
      </c>
      <c r="B11" s="22">
        <v>5</v>
      </c>
      <c r="C11" s="18" t="s">
        <v>242</v>
      </c>
      <c r="D11" s="19">
        <v>8540.99</v>
      </c>
      <c r="E11" s="19">
        <v>13901.91</v>
      </c>
      <c r="F11" s="20">
        <f>(D11-E11)/E11</f>
        <v>-0.3856247091227033</v>
      </c>
      <c r="G11" s="21">
        <v>1198</v>
      </c>
      <c r="H11" s="21">
        <v>76</v>
      </c>
      <c r="I11" s="22">
        <v>18.686274509803923</v>
      </c>
      <c r="J11" s="22">
        <v>8</v>
      </c>
      <c r="K11" s="22">
        <v>2</v>
      </c>
      <c r="L11" s="19">
        <v>22443.15</v>
      </c>
      <c r="M11" s="21">
        <v>3501</v>
      </c>
      <c r="N11" s="23">
        <v>45541</v>
      </c>
      <c r="O11" s="30" t="s">
        <v>243</v>
      </c>
      <c r="R11" s="17"/>
    </row>
    <row r="12" spans="1:18" s="24" customFormat="1" ht="24.95" customHeight="1">
      <c r="A12" s="17">
        <v>10</v>
      </c>
      <c r="B12" s="22" t="s">
        <v>17</v>
      </c>
      <c r="C12" s="18" t="s">
        <v>248</v>
      </c>
      <c r="D12" s="19">
        <v>7422.13</v>
      </c>
      <c r="E12" s="28" t="s">
        <v>15</v>
      </c>
      <c r="F12" s="20" t="s">
        <v>15</v>
      </c>
      <c r="G12" s="21">
        <v>1066</v>
      </c>
      <c r="H12" s="22" t="s">
        <v>15</v>
      </c>
      <c r="I12" s="22" t="s">
        <v>15</v>
      </c>
      <c r="J12" s="22">
        <v>13</v>
      </c>
      <c r="K12" s="21">
        <v>1</v>
      </c>
      <c r="L12" s="19">
        <v>7422.13</v>
      </c>
      <c r="M12" s="21">
        <v>1066</v>
      </c>
      <c r="N12" s="23">
        <v>45548</v>
      </c>
      <c r="O12" s="30" t="s">
        <v>209</v>
      </c>
      <c r="R12" s="17"/>
    </row>
    <row r="13" spans="1:18" s="24" customFormat="1" ht="24.95" customHeight="1">
      <c r="A13" s="17">
        <v>11</v>
      </c>
      <c r="B13" s="22">
        <v>6</v>
      </c>
      <c r="C13" s="25" t="s">
        <v>203</v>
      </c>
      <c r="D13" s="19">
        <v>7198.61</v>
      </c>
      <c r="E13" s="19">
        <v>12848.36</v>
      </c>
      <c r="F13" s="20">
        <f>(D13-E13)/E13</f>
        <v>-0.4397253812937994</v>
      </c>
      <c r="G13" s="21">
        <v>1012</v>
      </c>
      <c r="H13" s="21">
        <v>49</v>
      </c>
      <c r="I13" s="22">
        <f>G13/H13</f>
        <v>20.653061224489797</v>
      </c>
      <c r="J13" s="22">
        <v>8</v>
      </c>
      <c r="K13" s="21">
        <v>5</v>
      </c>
      <c r="L13" s="19">
        <v>136713.39000000001</v>
      </c>
      <c r="M13" s="21">
        <v>19208</v>
      </c>
      <c r="N13" s="23">
        <v>45520</v>
      </c>
      <c r="O13" s="53" t="s">
        <v>18</v>
      </c>
      <c r="R13" s="17"/>
    </row>
    <row r="14" spans="1:18" s="24" customFormat="1" ht="24.95" customHeight="1">
      <c r="A14" s="17">
        <v>12</v>
      </c>
      <c r="B14" s="22" t="s">
        <v>17</v>
      </c>
      <c r="C14" s="18" t="s">
        <v>249</v>
      </c>
      <c r="D14" s="19">
        <v>5154</v>
      </c>
      <c r="E14" s="28" t="s">
        <v>15</v>
      </c>
      <c r="F14" s="20" t="s">
        <v>15</v>
      </c>
      <c r="G14" s="21">
        <v>1033</v>
      </c>
      <c r="H14" s="22" t="s">
        <v>15</v>
      </c>
      <c r="I14" s="22" t="s">
        <v>15</v>
      </c>
      <c r="J14" s="22">
        <v>15</v>
      </c>
      <c r="K14" s="21">
        <v>1</v>
      </c>
      <c r="L14" s="19">
        <v>5154</v>
      </c>
      <c r="M14" s="21">
        <v>1033</v>
      </c>
      <c r="N14" s="23">
        <v>45548</v>
      </c>
      <c r="O14" s="30" t="s">
        <v>13</v>
      </c>
      <c r="R14" s="17"/>
    </row>
    <row r="15" spans="1:18" s="24" customFormat="1" ht="24.95" customHeight="1">
      <c r="A15" s="17">
        <v>13</v>
      </c>
      <c r="B15" s="22" t="s">
        <v>23</v>
      </c>
      <c r="C15" s="18" t="s">
        <v>258</v>
      </c>
      <c r="D15" s="19">
        <v>4489.2</v>
      </c>
      <c r="E15" s="28" t="s">
        <v>15</v>
      </c>
      <c r="F15" s="20" t="s">
        <v>15</v>
      </c>
      <c r="G15" s="21">
        <v>765</v>
      </c>
      <c r="H15" s="21">
        <v>19</v>
      </c>
      <c r="I15" s="22">
        <f t="shared" ref="I15:I22" si="1">G15/H15</f>
        <v>40.263157894736842</v>
      </c>
      <c r="J15" s="22">
        <v>10</v>
      </c>
      <c r="K15" s="21">
        <v>0</v>
      </c>
      <c r="L15" s="19">
        <v>4489.2</v>
      </c>
      <c r="M15" s="21">
        <v>765</v>
      </c>
      <c r="N15" s="23" t="s">
        <v>24</v>
      </c>
      <c r="O15" s="30" t="s">
        <v>259</v>
      </c>
      <c r="R15" s="17"/>
    </row>
    <row r="16" spans="1:18" s="24" customFormat="1" ht="24.95" customHeight="1">
      <c r="A16" s="17">
        <v>14</v>
      </c>
      <c r="B16" s="22">
        <v>8</v>
      </c>
      <c r="C16" s="18" t="s">
        <v>206</v>
      </c>
      <c r="D16" s="28">
        <v>4423.4399999999996</v>
      </c>
      <c r="E16" s="28">
        <v>10951.65</v>
      </c>
      <c r="F16" s="20">
        <f>(D16-E16)/E16</f>
        <v>-0.59609373929955767</v>
      </c>
      <c r="G16" s="29">
        <v>616</v>
      </c>
      <c r="H16" s="21">
        <v>19</v>
      </c>
      <c r="I16" s="22">
        <f t="shared" si="1"/>
        <v>32.421052631578945</v>
      </c>
      <c r="J16" s="22">
        <v>4</v>
      </c>
      <c r="K16" s="21">
        <v>4</v>
      </c>
      <c r="L16" s="28">
        <v>58080.47</v>
      </c>
      <c r="M16" s="29">
        <v>9350</v>
      </c>
      <c r="N16" s="23">
        <v>45527</v>
      </c>
      <c r="O16" s="30" t="s">
        <v>12</v>
      </c>
      <c r="R16" s="17"/>
    </row>
    <row r="17" spans="1:19" s="24" customFormat="1" ht="24.95" customHeight="1">
      <c r="A17" s="17">
        <v>15</v>
      </c>
      <c r="B17" s="22">
        <v>14</v>
      </c>
      <c r="C17" s="18" t="s">
        <v>193</v>
      </c>
      <c r="D17" s="19">
        <v>2703.53</v>
      </c>
      <c r="E17" s="19">
        <v>1394.65</v>
      </c>
      <c r="F17" s="20">
        <f>(D17-E17)/E17</f>
        <v>0.93850069910013267</v>
      </c>
      <c r="G17" s="21">
        <v>492</v>
      </c>
      <c r="H17" s="21">
        <v>36</v>
      </c>
      <c r="I17" s="22">
        <f t="shared" si="1"/>
        <v>13.666666666666666</v>
      </c>
      <c r="J17" s="22">
        <v>4</v>
      </c>
      <c r="K17" s="21">
        <v>6</v>
      </c>
      <c r="L17" s="19">
        <v>69527.91</v>
      </c>
      <c r="M17" s="21">
        <v>13634</v>
      </c>
      <c r="N17" s="23">
        <v>45513</v>
      </c>
      <c r="O17" s="30" t="s">
        <v>11</v>
      </c>
      <c r="R17" s="17"/>
    </row>
    <row r="18" spans="1:19" s="24" customFormat="1" ht="24.95" customHeight="1">
      <c r="A18" s="17">
        <v>16</v>
      </c>
      <c r="B18" s="22" t="s">
        <v>17</v>
      </c>
      <c r="C18" s="18" t="s">
        <v>250</v>
      </c>
      <c r="D18" s="19">
        <v>1194.68</v>
      </c>
      <c r="E18" s="28" t="s">
        <v>15</v>
      </c>
      <c r="F18" s="20" t="s">
        <v>15</v>
      </c>
      <c r="G18" s="21">
        <v>227</v>
      </c>
      <c r="H18" s="21">
        <v>22</v>
      </c>
      <c r="I18" s="22">
        <f t="shared" si="1"/>
        <v>10.318181818181818</v>
      </c>
      <c r="J18" s="22">
        <v>7</v>
      </c>
      <c r="K18" s="21">
        <v>1</v>
      </c>
      <c r="L18" s="19">
        <v>1194.68</v>
      </c>
      <c r="M18" s="21">
        <v>227</v>
      </c>
      <c r="N18" s="23">
        <v>45548</v>
      </c>
      <c r="O18" s="30" t="s">
        <v>251</v>
      </c>
      <c r="R18" s="17"/>
    </row>
    <row r="19" spans="1:19" s="24" customFormat="1" ht="24.95" customHeight="1">
      <c r="A19" s="17">
        <v>17</v>
      </c>
      <c r="B19" s="22">
        <v>11</v>
      </c>
      <c r="C19" s="18" t="s">
        <v>222</v>
      </c>
      <c r="D19" s="28">
        <v>1010.18</v>
      </c>
      <c r="E19" s="28">
        <v>6640.65</v>
      </c>
      <c r="F19" s="20">
        <f>(D19-E19)/E19</f>
        <v>-0.84787934916009722</v>
      </c>
      <c r="G19" s="29">
        <v>148</v>
      </c>
      <c r="H19" s="21">
        <v>7</v>
      </c>
      <c r="I19" s="22">
        <f t="shared" si="1"/>
        <v>21.142857142857142</v>
      </c>
      <c r="J19" s="22">
        <v>1</v>
      </c>
      <c r="K19" s="21">
        <v>3</v>
      </c>
      <c r="L19" s="28">
        <v>21793.119999999999</v>
      </c>
      <c r="M19" s="29">
        <v>3412</v>
      </c>
      <c r="N19" s="23">
        <v>45534</v>
      </c>
      <c r="O19" s="30" t="s">
        <v>66</v>
      </c>
      <c r="R19" s="17"/>
    </row>
    <row r="20" spans="1:19" s="68" customFormat="1" ht="24.95" customHeight="1">
      <c r="A20" s="17">
        <v>18</v>
      </c>
      <c r="B20" s="22" t="s">
        <v>23</v>
      </c>
      <c r="C20" s="18" t="s">
        <v>253</v>
      </c>
      <c r="D20" s="19">
        <v>698.44</v>
      </c>
      <c r="E20" s="28" t="s">
        <v>15</v>
      </c>
      <c r="F20" s="20" t="s">
        <v>15</v>
      </c>
      <c r="G20" s="21">
        <v>108</v>
      </c>
      <c r="H20" s="21">
        <v>9</v>
      </c>
      <c r="I20" s="22">
        <f t="shared" si="1"/>
        <v>12</v>
      </c>
      <c r="J20" s="22">
        <v>9</v>
      </c>
      <c r="K20" s="21">
        <v>0</v>
      </c>
      <c r="L20" s="19">
        <v>698.44</v>
      </c>
      <c r="M20" s="21">
        <v>108</v>
      </c>
      <c r="N20" s="23" t="s">
        <v>24</v>
      </c>
      <c r="O20" s="30" t="s">
        <v>11</v>
      </c>
      <c r="R20" s="67"/>
    </row>
    <row r="21" spans="1:19" s="24" customFormat="1" ht="24.75" customHeight="1">
      <c r="A21" s="17">
        <v>19</v>
      </c>
      <c r="B21" s="22">
        <v>15</v>
      </c>
      <c r="C21" s="18" t="s">
        <v>165</v>
      </c>
      <c r="D21" s="19">
        <v>597.6</v>
      </c>
      <c r="E21" s="19">
        <v>1216.3</v>
      </c>
      <c r="F21" s="20">
        <f>(D21-E21)/E21</f>
        <v>-0.50867384691276818</v>
      </c>
      <c r="G21" s="21">
        <v>80</v>
      </c>
      <c r="H21" s="21">
        <v>2</v>
      </c>
      <c r="I21" s="22">
        <f t="shared" si="1"/>
        <v>40</v>
      </c>
      <c r="J21" s="22">
        <v>1</v>
      </c>
      <c r="K21" s="21">
        <v>9</v>
      </c>
      <c r="L21" s="19">
        <v>162226.34</v>
      </c>
      <c r="M21" s="21">
        <v>23693</v>
      </c>
      <c r="N21" s="23">
        <v>45492</v>
      </c>
      <c r="O21" s="30" t="s">
        <v>66</v>
      </c>
      <c r="R21" s="17"/>
    </row>
    <row r="22" spans="1:19" s="27" customFormat="1" ht="24.75" customHeight="1">
      <c r="A22" s="17">
        <v>20</v>
      </c>
      <c r="B22" s="22">
        <v>16</v>
      </c>
      <c r="C22" s="18" t="s">
        <v>147</v>
      </c>
      <c r="D22" s="19">
        <v>581.4</v>
      </c>
      <c r="E22" s="19">
        <v>1107.1400000000001</v>
      </c>
      <c r="F22" s="20">
        <f>(D22-E22)/E22</f>
        <v>-0.47486316093718961</v>
      </c>
      <c r="G22" s="21">
        <v>91</v>
      </c>
      <c r="H22" s="21">
        <v>3</v>
      </c>
      <c r="I22" s="22">
        <f t="shared" si="1"/>
        <v>30.333333333333332</v>
      </c>
      <c r="J22" s="22">
        <v>2</v>
      </c>
      <c r="K22" s="21">
        <v>11</v>
      </c>
      <c r="L22" s="19">
        <v>54420.46</v>
      </c>
      <c r="M22" s="21">
        <v>8238</v>
      </c>
      <c r="N22" s="23">
        <v>45478</v>
      </c>
      <c r="O22" s="30" t="s">
        <v>18</v>
      </c>
      <c r="R22" s="17"/>
      <c r="S22" s="24"/>
    </row>
    <row r="23" spans="1:19" s="27" customFormat="1" ht="24.95" customHeight="1">
      <c r="A23" s="17">
        <v>21</v>
      </c>
      <c r="B23" s="22">
        <v>19</v>
      </c>
      <c r="C23" s="18" t="s">
        <v>208</v>
      </c>
      <c r="D23" s="28">
        <v>533.17999999999995</v>
      </c>
      <c r="E23" s="28">
        <v>427.7</v>
      </c>
      <c r="F23" s="20">
        <f>(D23-E23)/E23</f>
        <v>0.24662146364274015</v>
      </c>
      <c r="G23" s="29">
        <v>113</v>
      </c>
      <c r="H23" s="22" t="s">
        <v>15</v>
      </c>
      <c r="I23" s="22" t="s">
        <v>15</v>
      </c>
      <c r="J23" s="22">
        <v>2</v>
      </c>
      <c r="K23" s="21">
        <v>5</v>
      </c>
      <c r="L23" s="28">
        <v>26159</v>
      </c>
      <c r="M23" s="29">
        <v>5231</v>
      </c>
      <c r="N23" s="23">
        <v>45520</v>
      </c>
      <c r="O23" s="30" t="s">
        <v>209</v>
      </c>
      <c r="R23" s="17"/>
      <c r="S23" s="24"/>
    </row>
    <row r="24" spans="1:19" s="27" customFormat="1" ht="24.75" customHeight="1">
      <c r="A24" s="17">
        <v>22</v>
      </c>
      <c r="B24" s="22">
        <v>12</v>
      </c>
      <c r="C24" s="18" t="s">
        <v>221</v>
      </c>
      <c r="D24" s="28">
        <v>491.9</v>
      </c>
      <c r="E24" s="28">
        <v>2584.8200000000002</v>
      </c>
      <c r="F24" s="20">
        <f>(D24-E24)/E24</f>
        <v>-0.80969661330382769</v>
      </c>
      <c r="G24" s="29">
        <v>96</v>
      </c>
      <c r="H24" s="21">
        <v>9</v>
      </c>
      <c r="I24" s="22">
        <f>G24/H24</f>
        <v>10.666666666666666</v>
      </c>
      <c r="J24" s="22">
        <v>5</v>
      </c>
      <c r="K24" s="21">
        <v>3</v>
      </c>
      <c r="L24" s="28">
        <v>20558.650000000001</v>
      </c>
      <c r="M24" s="29">
        <v>4322</v>
      </c>
      <c r="N24" s="23">
        <v>45534</v>
      </c>
      <c r="O24" s="30" t="s">
        <v>66</v>
      </c>
    </row>
    <row r="25" spans="1:19" s="27" customFormat="1" ht="24.75" customHeight="1">
      <c r="A25" s="17">
        <v>23</v>
      </c>
      <c r="B25" s="22" t="s">
        <v>23</v>
      </c>
      <c r="C25" s="18" t="s">
        <v>255</v>
      </c>
      <c r="D25" s="19">
        <v>322.3</v>
      </c>
      <c r="E25" s="28" t="s">
        <v>15</v>
      </c>
      <c r="F25" s="20" t="s">
        <v>15</v>
      </c>
      <c r="G25" s="21">
        <v>317</v>
      </c>
      <c r="H25" s="21">
        <v>3</v>
      </c>
      <c r="I25" s="22">
        <f>G25/H25</f>
        <v>105.66666666666667</v>
      </c>
      <c r="J25" s="22">
        <v>3</v>
      </c>
      <c r="K25" s="21">
        <v>0</v>
      </c>
      <c r="L25" s="19">
        <v>322.3</v>
      </c>
      <c r="M25" s="21" t="s">
        <v>256</v>
      </c>
      <c r="N25" s="23" t="s">
        <v>24</v>
      </c>
      <c r="O25" s="30" t="s">
        <v>25</v>
      </c>
    </row>
    <row r="26" spans="1:19" s="27" customFormat="1" ht="24.75" customHeight="1">
      <c r="A26" s="17">
        <v>24</v>
      </c>
      <c r="B26" s="22">
        <v>25</v>
      </c>
      <c r="C26" s="18" t="s">
        <v>46</v>
      </c>
      <c r="D26" s="19">
        <v>264.60000000000002</v>
      </c>
      <c r="E26" s="19">
        <v>104.4</v>
      </c>
      <c r="F26" s="20">
        <f>(D26-E26)/E26</f>
        <v>1.5344827586206897</v>
      </c>
      <c r="G26" s="21">
        <v>36</v>
      </c>
      <c r="H26" s="22">
        <v>3</v>
      </c>
      <c r="I26" s="22">
        <v>9</v>
      </c>
      <c r="J26" s="17">
        <v>1</v>
      </c>
      <c r="K26" s="21">
        <v>26</v>
      </c>
      <c r="L26" s="19">
        <v>69219.7</v>
      </c>
      <c r="M26" s="21">
        <v>10681</v>
      </c>
      <c r="N26" s="23">
        <v>45379</v>
      </c>
      <c r="O26" s="30" t="s">
        <v>25</v>
      </c>
    </row>
    <row r="27" spans="1:19" s="27" customFormat="1" ht="24.75" customHeight="1">
      <c r="A27" s="17">
        <v>25</v>
      </c>
      <c r="B27" s="22"/>
      <c r="C27" s="18" t="s">
        <v>254</v>
      </c>
      <c r="D27" s="19">
        <v>249.75</v>
      </c>
      <c r="E27" s="28" t="s">
        <v>15</v>
      </c>
      <c r="F27" s="20" t="s">
        <v>15</v>
      </c>
      <c r="G27" s="21">
        <v>45</v>
      </c>
      <c r="H27" s="21">
        <v>1</v>
      </c>
      <c r="I27" s="22">
        <f>G27/H27</f>
        <v>45</v>
      </c>
      <c r="J27" s="22">
        <v>1</v>
      </c>
      <c r="K27" s="21" t="s">
        <v>15</v>
      </c>
      <c r="L27" s="19">
        <v>815729.43</v>
      </c>
      <c r="M27" s="21">
        <v>102575</v>
      </c>
      <c r="N27" s="23">
        <v>45352</v>
      </c>
      <c r="O27" s="30" t="s">
        <v>12</v>
      </c>
    </row>
    <row r="28" spans="1:19" s="24" customFormat="1" ht="24.95" customHeight="1">
      <c r="A28" s="17">
        <v>26</v>
      </c>
      <c r="B28" s="22">
        <v>24</v>
      </c>
      <c r="C28" s="18" t="s">
        <v>223</v>
      </c>
      <c r="D28" s="19">
        <v>249</v>
      </c>
      <c r="E28" s="19">
        <v>128</v>
      </c>
      <c r="F28" s="20">
        <f>(D28-E28)/E28</f>
        <v>0.9453125</v>
      </c>
      <c r="G28" s="21">
        <v>51</v>
      </c>
      <c r="H28" s="22" t="s">
        <v>15</v>
      </c>
      <c r="I28" s="22" t="s">
        <v>15</v>
      </c>
      <c r="J28" s="17">
        <v>3</v>
      </c>
      <c r="K28" s="22">
        <v>4</v>
      </c>
      <c r="L28" s="19">
        <v>15606</v>
      </c>
      <c r="M28" s="21">
        <v>3283</v>
      </c>
      <c r="N28" s="23">
        <v>45527</v>
      </c>
      <c r="O28" s="30" t="s">
        <v>13</v>
      </c>
      <c r="R28" s="17"/>
    </row>
    <row r="29" spans="1:19" s="24" customFormat="1" ht="24.95" customHeight="1">
      <c r="A29" s="17">
        <v>27</v>
      </c>
      <c r="B29" s="22">
        <v>18</v>
      </c>
      <c r="C29" s="18" t="s">
        <v>232</v>
      </c>
      <c r="D29" s="19">
        <v>212</v>
      </c>
      <c r="E29" s="19">
        <v>836</v>
      </c>
      <c r="F29" s="20">
        <f>(D29-E29)/E29</f>
        <v>-0.74641148325358853</v>
      </c>
      <c r="G29" s="21">
        <v>34</v>
      </c>
      <c r="H29" s="22" t="s">
        <v>15</v>
      </c>
      <c r="I29" s="22" t="s">
        <v>15</v>
      </c>
      <c r="J29" s="22">
        <v>2</v>
      </c>
      <c r="K29" s="21">
        <v>3</v>
      </c>
      <c r="L29" s="19">
        <v>6237</v>
      </c>
      <c r="M29" s="21">
        <v>1013</v>
      </c>
      <c r="N29" s="23">
        <v>45534</v>
      </c>
      <c r="O29" s="30" t="s">
        <v>13</v>
      </c>
      <c r="R29" s="17"/>
    </row>
    <row r="30" spans="1:19" s="24" customFormat="1" ht="24.95" customHeight="1">
      <c r="A30" s="17">
        <v>28</v>
      </c>
      <c r="B30" s="28" t="s">
        <v>15</v>
      </c>
      <c r="C30" s="18" t="s">
        <v>81</v>
      </c>
      <c r="D30" s="19">
        <v>176</v>
      </c>
      <c r="E30" s="28" t="s">
        <v>15</v>
      </c>
      <c r="F30" s="20" t="s">
        <v>15</v>
      </c>
      <c r="G30" s="21">
        <v>79</v>
      </c>
      <c r="H30" s="21">
        <v>1</v>
      </c>
      <c r="I30" s="22">
        <f>G30/H30</f>
        <v>79</v>
      </c>
      <c r="J30" s="22">
        <v>1</v>
      </c>
      <c r="K30" s="21" t="s">
        <v>15</v>
      </c>
      <c r="L30" s="19">
        <v>4269.1000000000004</v>
      </c>
      <c r="M30" s="21">
        <v>835</v>
      </c>
      <c r="N30" s="23">
        <v>45415</v>
      </c>
      <c r="O30" s="30" t="s">
        <v>82</v>
      </c>
      <c r="R30" s="17"/>
    </row>
    <row r="31" spans="1:19" s="24" customFormat="1" ht="24.95" customHeight="1">
      <c r="A31" s="17">
        <v>29</v>
      </c>
      <c r="B31" s="22">
        <v>35</v>
      </c>
      <c r="C31" s="18" t="s">
        <v>185</v>
      </c>
      <c r="D31" s="19">
        <v>154</v>
      </c>
      <c r="E31" s="19">
        <v>15</v>
      </c>
      <c r="F31" s="20">
        <f t="shared" ref="F31:F36" si="2">(D31-E31)/E31</f>
        <v>9.2666666666666675</v>
      </c>
      <c r="G31" s="21">
        <v>32</v>
      </c>
      <c r="H31" s="22">
        <v>6</v>
      </c>
      <c r="I31" s="22">
        <f>G31/H31</f>
        <v>5.333333333333333</v>
      </c>
      <c r="J31" s="17">
        <v>3</v>
      </c>
      <c r="K31" s="21">
        <v>8</v>
      </c>
      <c r="L31" s="19">
        <v>38628.020000000004</v>
      </c>
      <c r="M31" s="21">
        <v>7737</v>
      </c>
      <c r="N31" s="23">
        <v>45499</v>
      </c>
      <c r="O31" s="30" t="s">
        <v>14</v>
      </c>
      <c r="R31" s="17"/>
    </row>
    <row r="32" spans="1:19" s="24" customFormat="1" ht="24.95" customHeight="1">
      <c r="A32" s="17">
        <v>30</v>
      </c>
      <c r="B32" s="22">
        <v>20</v>
      </c>
      <c r="C32" s="25" t="s">
        <v>84</v>
      </c>
      <c r="D32" s="28">
        <v>70.999999999999773</v>
      </c>
      <c r="E32" s="28">
        <v>351.20000000000005</v>
      </c>
      <c r="F32" s="20">
        <f t="shared" si="2"/>
        <v>-0.79783599088838331</v>
      </c>
      <c r="G32" s="29">
        <v>10</v>
      </c>
      <c r="H32" s="21">
        <v>2</v>
      </c>
      <c r="I32" s="22">
        <v>5</v>
      </c>
      <c r="J32" s="22">
        <v>2</v>
      </c>
      <c r="K32" s="22" t="s">
        <v>15</v>
      </c>
      <c r="L32" s="28">
        <v>13945.949999999997</v>
      </c>
      <c r="M32" s="29">
        <v>2217</v>
      </c>
      <c r="N32" s="23">
        <v>45408</v>
      </c>
      <c r="O32" s="53" t="s">
        <v>82</v>
      </c>
      <c r="R32" s="17"/>
    </row>
    <row r="33" spans="1:18" s="24" customFormat="1" ht="24.95" customHeight="1">
      <c r="A33" s="17">
        <v>31</v>
      </c>
      <c r="B33" s="22">
        <v>23</v>
      </c>
      <c r="C33" s="25" t="s">
        <v>174</v>
      </c>
      <c r="D33" s="19">
        <v>66</v>
      </c>
      <c r="E33" s="19">
        <v>175.4</v>
      </c>
      <c r="F33" s="20">
        <f t="shared" si="2"/>
        <v>-0.62371721778791334</v>
      </c>
      <c r="G33" s="21">
        <v>11</v>
      </c>
      <c r="H33" s="21">
        <v>1</v>
      </c>
      <c r="I33" s="22">
        <v>11</v>
      </c>
      <c r="J33" s="22">
        <v>1</v>
      </c>
      <c r="K33" s="21" t="s">
        <v>15</v>
      </c>
      <c r="L33" s="19">
        <v>6867.7</v>
      </c>
      <c r="M33" s="21">
        <v>1090</v>
      </c>
      <c r="N33" s="23">
        <v>45492</v>
      </c>
      <c r="O33" s="53" t="s">
        <v>116</v>
      </c>
      <c r="R33" s="17"/>
    </row>
    <row r="34" spans="1:18" s="24" customFormat="1" ht="24.95" customHeight="1">
      <c r="A34" s="17">
        <v>32</v>
      </c>
      <c r="B34" s="22">
        <v>22</v>
      </c>
      <c r="C34" s="18" t="s">
        <v>188</v>
      </c>
      <c r="D34" s="19">
        <v>62</v>
      </c>
      <c r="E34" s="19">
        <v>185</v>
      </c>
      <c r="F34" s="20">
        <f t="shared" si="2"/>
        <v>-0.66486486486486485</v>
      </c>
      <c r="G34" s="21">
        <v>11</v>
      </c>
      <c r="H34" s="20" t="s">
        <v>15</v>
      </c>
      <c r="I34" s="20" t="s">
        <v>15</v>
      </c>
      <c r="J34" s="17">
        <v>1</v>
      </c>
      <c r="K34" s="21">
        <v>8</v>
      </c>
      <c r="L34" s="19">
        <v>7184</v>
      </c>
      <c r="M34" s="21">
        <v>1190</v>
      </c>
      <c r="N34" s="23">
        <v>45499</v>
      </c>
      <c r="O34" s="30" t="s">
        <v>13</v>
      </c>
      <c r="R34" s="17"/>
    </row>
    <row r="35" spans="1:18" s="24" customFormat="1" ht="24.95" customHeight="1">
      <c r="A35" s="17">
        <v>33</v>
      </c>
      <c r="B35" s="22">
        <v>29</v>
      </c>
      <c r="C35" s="18" t="s">
        <v>149</v>
      </c>
      <c r="D35" s="28">
        <v>60.4</v>
      </c>
      <c r="E35" s="28">
        <v>46.2</v>
      </c>
      <c r="F35" s="20">
        <f t="shared" si="2"/>
        <v>0.30735930735930722</v>
      </c>
      <c r="G35" s="29">
        <v>8</v>
      </c>
      <c r="H35" s="21">
        <v>2</v>
      </c>
      <c r="I35" s="22">
        <f>G35/H35</f>
        <v>4</v>
      </c>
      <c r="J35" s="22">
        <v>2</v>
      </c>
      <c r="K35" s="21" t="s">
        <v>15</v>
      </c>
      <c r="L35" s="28">
        <v>216239</v>
      </c>
      <c r="M35" s="29">
        <v>33461</v>
      </c>
      <c r="N35" s="23">
        <v>45191</v>
      </c>
      <c r="O35" s="30" t="s">
        <v>25</v>
      </c>
      <c r="R35" s="17"/>
    </row>
    <row r="36" spans="1:18" s="24" customFormat="1" ht="24.95" customHeight="1">
      <c r="A36" s="17">
        <v>34</v>
      </c>
      <c r="B36" s="22">
        <v>21</v>
      </c>
      <c r="C36" s="25" t="s">
        <v>244</v>
      </c>
      <c r="D36" s="19">
        <v>60.09</v>
      </c>
      <c r="E36" s="19">
        <v>296.74</v>
      </c>
      <c r="F36" s="20">
        <f t="shared" si="2"/>
        <v>-0.79749949450697577</v>
      </c>
      <c r="G36" s="21">
        <v>15</v>
      </c>
      <c r="H36" s="21">
        <v>6</v>
      </c>
      <c r="I36" s="22">
        <f>G36/H36</f>
        <v>2.5</v>
      </c>
      <c r="J36" s="22">
        <v>2</v>
      </c>
      <c r="K36" s="22">
        <v>2</v>
      </c>
      <c r="L36" s="19">
        <v>356.83</v>
      </c>
      <c r="M36" s="21">
        <v>75</v>
      </c>
      <c r="N36" s="23">
        <v>45541</v>
      </c>
      <c r="O36" s="53" t="s">
        <v>245</v>
      </c>
      <c r="R36" s="17"/>
    </row>
    <row r="37" spans="1:18" s="24" customFormat="1" ht="24.95" customHeight="1">
      <c r="A37" s="17">
        <v>35</v>
      </c>
      <c r="B37" s="22" t="s">
        <v>15</v>
      </c>
      <c r="C37" s="18" t="s">
        <v>257</v>
      </c>
      <c r="D37" s="19">
        <v>44.4</v>
      </c>
      <c r="E37" s="28" t="s">
        <v>15</v>
      </c>
      <c r="F37" s="20" t="s">
        <v>15</v>
      </c>
      <c r="G37" s="21">
        <v>6</v>
      </c>
      <c r="H37" s="21">
        <v>2</v>
      </c>
      <c r="I37" s="22">
        <f>G37/H37</f>
        <v>3</v>
      </c>
      <c r="J37" s="22">
        <v>1</v>
      </c>
      <c r="K37" s="21" t="s">
        <v>15</v>
      </c>
      <c r="L37" s="19">
        <v>36767.53</v>
      </c>
      <c r="M37" s="21">
        <v>6341</v>
      </c>
      <c r="N37" s="23">
        <v>44659</v>
      </c>
      <c r="O37" s="30" t="s">
        <v>25</v>
      </c>
      <c r="R37" s="17"/>
    </row>
    <row r="38" spans="1:18" s="24" customFormat="1" ht="24.95" customHeight="1">
      <c r="A38" s="17">
        <v>36</v>
      </c>
      <c r="B38" s="22">
        <v>33</v>
      </c>
      <c r="C38" s="25" t="s">
        <v>176</v>
      </c>
      <c r="D38" s="19">
        <v>35</v>
      </c>
      <c r="E38" s="19">
        <v>20</v>
      </c>
      <c r="F38" s="20">
        <f>(D38-E38)/E38</f>
        <v>0.75</v>
      </c>
      <c r="G38" s="21">
        <v>7</v>
      </c>
      <c r="H38" s="22" t="s">
        <v>15</v>
      </c>
      <c r="I38" s="22" t="s">
        <v>15</v>
      </c>
      <c r="J38" s="22">
        <v>1</v>
      </c>
      <c r="K38" s="21">
        <v>9</v>
      </c>
      <c r="L38" s="19">
        <v>10920</v>
      </c>
      <c r="M38" s="21">
        <v>2360</v>
      </c>
      <c r="N38" s="23">
        <v>45492</v>
      </c>
      <c r="O38" s="53" t="s">
        <v>13</v>
      </c>
      <c r="R38" s="17"/>
    </row>
    <row r="39" spans="1:18" ht="24.75" customHeight="1">
      <c r="A39" s="46"/>
      <c r="B39" s="57" t="s">
        <v>26</v>
      </c>
      <c r="C39" s="48" t="s">
        <v>90</v>
      </c>
      <c r="D39" s="49">
        <f>SUBTOTAL(109,Table132456789101112131415171618[Pajamos 
(GBO)])</f>
        <v>288839.58000000013</v>
      </c>
      <c r="E39" s="49" t="s">
        <v>247</v>
      </c>
      <c r="F39" s="50">
        <f t="shared" ref="F39" si="3">(D39-E39)/E39</f>
        <v>0.33757324849613152</v>
      </c>
      <c r="G39" s="52">
        <f>SUBTOTAL(109,Table132456789101112131415171618[Žiūrovų sk. 
(ADM)])</f>
        <v>42923</v>
      </c>
      <c r="H39" s="57"/>
      <c r="I39" s="46"/>
      <c r="J39" s="46"/>
      <c r="K39" s="57"/>
      <c r="L39" s="54"/>
      <c r="M39" s="57"/>
      <c r="N39" s="46"/>
      <c r="O39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A5660-86B5-4B40-86A8-A55E8D644D06}">
  <sheetPr>
    <pageSetUpPr fitToPage="1"/>
  </sheetPr>
  <dimension ref="A1:XFC38"/>
  <sheetViews>
    <sheetView topLeftCell="A12" zoomScale="60" zoomScaleNormal="60" workbookViewId="0">
      <selection activeCell="B28" sqref="B28:O28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58" customWidth="1"/>
    <col min="12" max="12" width="20.7109375" style="43" customWidth="1"/>
    <col min="13" max="13" width="20.7109375" style="58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3" t="s">
        <v>238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22" t="s">
        <v>17</v>
      </c>
      <c r="C3" s="18" t="s">
        <v>234</v>
      </c>
      <c r="D3" s="28">
        <v>50454.91</v>
      </c>
      <c r="E3" s="28" t="s">
        <v>15</v>
      </c>
      <c r="F3" s="20" t="s">
        <v>15</v>
      </c>
      <c r="G3" s="29">
        <v>7509</v>
      </c>
      <c r="H3" s="21">
        <v>294</v>
      </c>
      <c r="I3" s="22">
        <f t="shared" ref="I3:I19" si="0">G3/H3</f>
        <v>25.540816326530614</v>
      </c>
      <c r="J3" s="22">
        <v>20</v>
      </c>
      <c r="K3" s="21">
        <v>1</v>
      </c>
      <c r="L3" s="28">
        <v>56349.97</v>
      </c>
      <c r="M3" s="29">
        <v>8387</v>
      </c>
      <c r="N3" s="23">
        <v>45541</v>
      </c>
      <c r="O3" s="30" t="s">
        <v>12</v>
      </c>
    </row>
    <row r="4" spans="1:18" s="24" customFormat="1" ht="24.95" customHeight="1">
      <c r="A4" s="17">
        <v>2</v>
      </c>
      <c r="B4" s="17">
        <v>1</v>
      </c>
      <c r="C4" s="18" t="s">
        <v>191</v>
      </c>
      <c r="D4" s="19">
        <v>46823.839999999997</v>
      </c>
      <c r="E4" s="19">
        <v>64516.52</v>
      </c>
      <c r="F4" s="20">
        <f>(D4-E4)/E4</f>
        <v>-0.27423487813663849</v>
      </c>
      <c r="G4" s="21">
        <v>6167</v>
      </c>
      <c r="H4" s="21">
        <v>309</v>
      </c>
      <c r="I4" s="22">
        <f t="shared" si="0"/>
        <v>19.957928802588995</v>
      </c>
      <c r="J4" s="22">
        <v>18</v>
      </c>
      <c r="K4" s="21">
        <v>5</v>
      </c>
      <c r="L4" s="19">
        <v>756800.41</v>
      </c>
      <c r="M4" s="21">
        <v>104311</v>
      </c>
      <c r="N4" s="23">
        <v>45513</v>
      </c>
      <c r="O4" s="30" t="s">
        <v>61</v>
      </c>
      <c r="R4" s="17"/>
    </row>
    <row r="5" spans="1:18" s="24" customFormat="1" ht="24.95" customHeight="1">
      <c r="A5" s="17">
        <v>3</v>
      </c>
      <c r="B5" s="17">
        <v>3</v>
      </c>
      <c r="C5" s="18" t="s">
        <v>178</v>
      </c>
      <c r="D5" s="19">
        <v>18251.71</v>
      </c>
      <c r="E5" s="19">
        <v>24964.39</v>
      </c>
      <c r="F5" s="20">
        <f>(D5-E5)/E5</f>
        <v>-0.26889020721115159</v>
      </c>
      <c r="G5" s="21">
        <v>2742</v>
      </c>
      <c r="H5" s="21">
        <v>160</v>
      </c>
      <c r="I5" s="22">
        <f t="shared" si="0"/>
        <v>17.137499999999999</v>
      </c>
      <c r="J5" s="22">
        <v>10</v>
      </c>
      <c r="K5" s="21">
        <v>7</v>
      </c>
      <c r="L5" s="19">
        <v>731527.38</v>
      </c>
      <c r="M5" s="21">
        <v>94728</v>
      </c>
      <c r="N5" s="23">
        <v>45499</v>
      </c>
      <c r="O5" s="30" t="s">
        <v>18</v>
      </c>
      <c r="R5" s="17"/>
    </row>
    <row r="6" spans="1:18" s="24" customFormat="1" ht="24.95" customHeight="1">
      <c r="A6" s="17">
        <v>4</v>
      </c>
      <c r="B6" s="22" t="s">
        <v>17</v>
      </c>
      <c r="C6" s="25" t="s">
        <v>239</v>
      </c>
      <c r="D6" s="19">
        <v>14304.37</v>
      </c>
      <c r="E6" s="20" t="s">
        <v>15</v>
      </c>
      <c r="F6" s="20" t="s">
        <v>15</v>
      </c>
      <c r="G6" s="21">
        <v>2909</v>
      </c>
      <c r="H6" s="21">
        <v>230</v>
      </c>
      <c r="I6" s="22">
        <f t="shared" si="0"/>
        <v>12.647826086956522</v>
      </c>
      <c r="J6" s="22">
        <v>19</v>
      </c>
      <c r="K6" s="22">
        <v>1</v>
      </c>
      <c r="L6" s="19">
        <v>14304.369999999999</v>
      </c>
      <c r="M6" s="21">
        <v>2909</v>
      </c>
      <c r="N6" s="23">
        <v>45541</v>
      </c>
      <c r="O6" s="30" t="s">
        <v>14</v>
      </c>
      <c r="R6" s="17"/>
    </row>
    <row r="7" spans="1:18" s="24" customFormat="1" ht="24.95" customHeight="1">
      <c r="A7" s="17">
        <v>5</v>
      </c>
      <c r="B7" s="22" t="s">
        <v>17</v>
      </c>
      <c r="C7" s="18" t="s">
        <v>242</v>
      </c>
      <c r="D7" s="19">
        <v>13901.91</v>
      </c>
      <c r="E7" s="20" t="s">
        <v>15</v>
      </c>
      <c r="F7" s="20" t="s">
        <v>15</v>
      </c>
      <c r="G7" s="21">
        <v>2303</v>
      </c>
      <c r="H7" s="21">
        <v>109</v>
      </c>
      <c r="I7" s="22">
        <f t="shared" si="0"/>
        <v>21.128440366972477</v>
      </c>
      <c r="J7" s="22">
        <v>8</v>
      </c>
      <c r="K7" s="22">
        <v>1</v>
      </c>
      <c r="L7" s="19">
        <v>13901.91</v>
      </c>
      <c r="M7" s="21">
        <v>2303</v>
      </c>
      <c r="N7" s="23">
        <v>45541</v>
      </c>
      <c r="O7" s="30" t="s">
        <v>243</v>
      </c>
      <c r="R7" s="17"/>
    </row>
    <row r="8" spans="1:18" s="24" customFormat="1" ht="24.95" customHeight="1">
      <c r="A8" s="17">
        <v>6</v>
      </c>
      <c r="B8" s="17">
        <v>5</v>
      </c>
      <c r="C8" s="25" t="s">
        <v>203</v>
      </c>
      <c r="D8" s="19">
        <v>12848.36</v>
      </c>
      <c r="E8" s="19">
        <v>18037.05</v>
      </c>
      <c r="F8" s="20">
        <f>(D8-E8)/E8</f>
        <v>-0.28766843802062969</v>
      </c>
      <c r="G8" s="21">
        <v>1913</v>
      </c>
      <c r="H8" s="21">
        <v>121</v>
      </c>
      <c r="I8" s="22">
        <f t="shared" si="0"/>
        <v>15.809917355371901</v>
      </c>
      <c r="J8" s="22">
        <v>10</v>
      </c>
      <c r="K8" s="21">
        <v>4</v>
      </c>
      <c r="L8" s="19">
        <v>129514.78</v>
      </c>
      <c r="M8" s="21">
        <v>18196</v>
      </c>
      <c r="N8" s="23">
        <v>45520</v>
      </c>
      <c r="O8" s="53" t="s">
        <v>18</v>
      </c>
      <c r="R8" s="17"/>
    </row>
    <row r="9" spans="1:18" s="24" customFormat="1" ht="24.95" customHeight="1">
      <c r="A9" s="17">
        <v>7</v>
      </c>
      <c r="B9" s="17">
        <v>2</v>
      </c>
      <c r="C9" s="18" t="s">
        <v>146</v>
      </c>
      <c r="D9" s="19">
        <v>12261.82</v>
      </c>
      <c r="E9" s="19">
        <v>35344.699999999997</v>
      </c>
      <c r="F9" s="20">
        <f>(D9-E9)/E9</f>
        <v>-0.65307896233381524</v>
      </c>
      <c r="G9" s="21">
        <v>2157</v>
      </c>
      <c r="H9" s="21">
        <v>195</v>
      </c>
      <c r="I9" s="22">
        <f t="shared" si="0"/>
        <v>11.061538461538461</v>
      </c>
      <c r="J9" s="22">
        <v>18</v>
      </c>
      <c r="K9" s="21">
        <v>10</v>
      </c>
      <c r="L9" s="19">
        <v>1114739.06</v>
      </c>
      <c r="M9" s="21">
        <v>193479</v>
      </c>
      <c r="N9" s="23">
        <v>45478</v>
      </c>
      <c r="O9" s="30" t="s">
        <v>63</v>
      </c>
      <c r="R9" s="17"/>
    </row>
    <row r="10" spans="1:18" s="24" customFormat="1" ht="24.75" customHeight="1">
      <c r="A10" s="17">
        <v>8</v>
      </c>
      <c r="B10" s="17">
        <v>7</v>
      </c>
      <c r="C10" s="18" t="s">
        <v>206</v>
      </c>
      <c r="D10" s="28">
        <v>10951.65</v>
      </c>
      <c r="E10" s="28">
        <v>14757.59</v>
      </c>
      <c r="F10" s="20">
        <f>(D10-E10)/E10</f>
        <v>-0.25789712276869059</v>
      </c>
      <c r="G10" s="29">
        <v>1799</v>
      </c>
      <c r="H10" s="21">
        <v>79</v>
      </c>
      <c r="I10" s="22">
        <f t="shared" si="0"/>
        <v>22.772151898734176</v>
      </c>
      <c r="J10" s="22">
        <v>12</v>
      </c>
      <c r="K10" s="21">
        <v>3</v>
      </c>
      <c r="L10" s="28">
        <v>53657.03</v>
      </c>
      <c r="M10" s="29">
        <v>8734</v>
      </c>
      <c r="N10" s="23">
        <v>45527</v>
      </c>
      <c r="O10" s="30" t="s">
        <v>12</v>
      </c>
      <c r="R10" s="17"/>
    </row>
    <row r="11" spans="1:18" s="24" customFormat="1" ht="24.95" customHeight="1">
      <c r="A11" s="17">
        <v>9</v>
      </c>
      <c r="B11" s="22" t="s">
        <v>23</v>
      </c>
      <c r="C11" s="18" t="s">
        <v>240</v>
      </c>
      <c r="D11" s="28">
        <v>9408.74</v>
      </c>
      <c r="E11" s="28" t="s">
        <v>15</v>
      </c>
      <c r="F11" s="20" t="s">
        <v>15</v>
      </c>
      <c r="G11" s="29">
        <v>1149</v>
      </c>
      <c r="H11" s="21">
        <v>14</v>
      </c>
      <c r="I11" s="22">
        <f t="shared" si="0"/>
        <v>82.071428571428569</v>
      </c>
      <c r="J11" s="22">
        <v>12</v>
      </c>
      <c r="K11" s="21">
        <v>0</v>
      </c>
      <c r="L11" s="28">
        <v>9408.74</v>
      </c>
      <c r="M11" s="29">
        <v>1149</v>
      </c>
      <c r="N11" s="23" t="s">
        <v>24</v>
      </c>
      <c r="O11" s="30" t="s">
        <v>11</v>
      </c>
      <c r="R11" s="17"/>
    </row>
    <row r="12" spans="1:18" s="24" customFormat="1" ht="24.95" customHeight="1">
      <c r="A12" s="17">
        <v>10</v>
      </c>
      <c r="B12" s="17">
        <v>4</v>
      </c>
      <c r="C12" s="25" t="s">
        <v>106</v>
      </c>
      <c r="D12" s="19">
        <v>8230.1200000000008</v>
      </c>
      <c r="E12" s="19">
        <v>21786.27</v>
      </c>
      <c r="F12" s="20">
        <f>(D12-E12)/E12</f>
        <v>-0.62223363613872407</v>
      </c>
      <c r="G12" s="21">
        <v>1457</v>
      </c>
      <c r="H12" s="21">
        <v>133</v>
      </c>
      <c r="I12" s="22">
        <f t="shared" si="0"/>
        <v>10.954887218045112</v>
      </c>
      <c r="J12" s="22">
        <v>11</v>
      </c>
      <c r="K12" s="21">
        <v>13</v>
      </c>
      <c r="L12" s="19">
        <v>1277914.82</v>
      </c>
      <c r="M12" s="21">
        <v>220994</v>
      </c>
      <c r="N12" s="23">
        <v>45457</v>
      </c>
      <c r="O12" s="30" t="s">
        <v>18</v>
      </c>
      <c r="R12" s="17"/>
    </row>
    <row r="13" spans="1:18" s="24" customFormat="1" ht="24.95" customHeight="1">
      <c r="A13" s="17">
        <v>11</v>
      </c>
      <c r="B13" s="17">
        <v>8</v>
      </c>
      <c r="C13" s="18" t="s">
        <v>222</v>
      </c>
      <c r="D13" s="28">
        <v>6640.65</v>
      </c>
      <c r="E13" s="28">
        <v>12844.16</v>
      </c>
      <c r="F13" s="20">
        <f>(D13-E13)/E13</f>
        <v>-0.48298292764960887</v>
      </c>
      <c r="G13" s="29">
        <v>1103</v>
      </c>
      <c r="H13" s="21">
        <v>64</v>
      </c>
      <c r="I13" s="22">
        <f t="shared" si="0"/>
        <v>17.234375</v>
      </c>
      <c r="J13" s="22">
        <v>11</v>
      </c>
      <c r="K13" s="21">
        <v>2</v>
      </c>
      <c r="L13" s="28">
        <v>20759.439999999999</v>
      </c>
      <c r="M13" s="29">
        <v>3261</v>
      </c>
      <c r="N13" s="23">
        <v>45534</v>
      </c>
      <c r="O13" s="30" t="s">
        <v>66</v>
      </c>
      <c r="R13" s="17"/>
    </row>
    <row r="14" spans="1:18" s="24" customFormat="1" ht="24.95" customHeight="1">
      <c r="A14" s="17">
        <v>12</v>
      </c>
      <c r="B14" s="17">
        <v>6</v>
      </c>
      <c r="C14" s="18" t="s">
        <v>221</v>
      </c>
      <c r="D14" s="28">
        <v>2584.8200000000002</v>
      </c>
      <c r="E14" s="28">
        <v>15801.98</v>
      </c>
      <c r="F14" s="20">
        <f>(D14-E14)/E14</f>
        <v>-0.83642429619579317</v>
      </c>
      <c r="G14" s="29">
        <v>523</v>
      </c>
      <c r="H14" s="21">
        <v>78</v>
      </c>
      <c r="I14" s="22">
        <f t="shared" si="0"/>
        <v>6.7051282051282053</v>
      </c>
      <c r="J14" s="22">
        <v>13</v>
      </c>
      <c r="K14" s="21">
        <v>2</v>
      </c>
      <c r="L14" s="28">
        <v>20030.75</v>
      </c>
      <c r="M14" s="29">
        <v>4220</v>
      </c>
      <c r="N14" s="23">
        <v>45534</v>
      </c>
      <c r="O14" s="30" t="s">
        <v>66</v>
      </c>
      <c r="R14" s="17"/>
    </row>
    <row r="15" spans="1:18" s="24" customFormat="1" ht="24.95" customHeight="1">
      <c r="A15" s="17">
        <v>13</v>
      </c>
      <c r="B15" s="22" t="s">
        <v>23</v>
      </c>
      <c r="C15" s="7" t="s">
        <v>246</v>
      </c>
      <c r="D15" s="8">
        <v>1625.68</v>
      </c>
      <c r="E15" s="20" t="s">
        <v>15</v>
      </c>
      <c r="F15" s="20" t="s">
        <v>15</v>
      </c>
      <c r="G15" s="10">
        <v>224</v>
      </c>
      <c r="H15" s="10">
        <v>9</v>
      </c>
      <c r="I15" s="11">
        <f t="shared" si="0"/>
        <v>24.888888888888889</v>
      </c>
      <c r="J15" s="11">
        <v>9</v>
      </c>
      <c r="K15" s="10">
        <v>0</v>
      </c>
      <c r="L15" s="19">
        <v>1625.68</v>
      </c>
      <c r="M15" s="21">
        <v>224</v>
      </c>
      <c r="N15" s="12" t="s">
        <v>24</v>
      </c>
      <c r="O15" s="30" t="s">
        <v>63</v>
      </c>
      <c r="R15" s="17"/>
    </row>
    <row r="16" spans="1:18" s="24" customFormat="1" ht="24.95" customHeight="1">
      <c r="A16" s="17">
        <v>14</v>
      </c>
      <c r="B16" s="17">
        <v>9</v>
      </c>
      <c r="C16" s="18" t="s">
        <v>193</v>
      </c>
      <c r="D16" s="19">
        <v>1394.65</v>
      </c>
      <c r="E16" s="19">
        <v>6301.59</v>
      </c>
      <c r="F16" s="20">
        <f t="shared" ref="F16:F22" si="1">(D16-E16)/E16</f>
        <v>-0.77868284036251179</v>
      </c>
      <c r="G16" s="21">
        <v>253</v>
      </c>
      <c r="H16" s="21">
        <v>30</v>
      </c>
      <c r="I16" s="22">
        <f t="shared" si="0"/>
        <v>8.4333333333333336</v>
      </c>
      <c r="J16" s="22">
        <v>4</v>
      </c>
      <c r="K16" s="21">
        <v>5</v>
      </c>
      <c r="L16" s="19">
        <v>66824.38</v>
      </c>
      <c r="M16" s="21">
        <v>13142</v>
      </c>
      <c r="N16" s="23">
        <v>45513</v>
      </c>
      <c r="O16" s="30" t="s">
        <v>11</v>
      </c>
      <c r="R16" s="17"/>
    </row>
    <row r="17" spans="1:19" s="24" customFormat="1" ht="24.95" customHeight="1">
      <c r="A17" s="17">
        <v>15</v>
      </c>
      <c r="B17" s="17">
        <v>15</v>
      </c>
      <c r="C17" s="18" t="s">
        <v>165</v>
      </c>
      <c r="D17" s="19">
        <v>1216.3</v>
      </c>
      <c r="E17" s="19">
        <v>2425.5</v>
      </c>
      <c r="F17" s="20">
        <f t="shared" si="1"/>
        <v>-0.49853638425066998</v>
      </c>
      <c r="G17" s="21">
        <v>167</v>
      </c>
      <c r="H17" s="21">
        <v>8</v>
      </c>
      <c r="I17" s="22">
        <f t="shared" si="0"/>
        <v>20.875</v>
      </c>
      <c r="J17" s="22">
        <v>1</v>
      </c>
      <c r="K17" s="21">
        <v>8</v>
      </c>
      <c r="L17" s="19">
        <v>161628.74</v>
      </c>
      <c r="M17" s="21">
        <v>23613</v>
      </c>
      <c r="N17" s="23">
        <v>45492</v>
      </c>
      <c r="O17" s="30" t="s">
        <v>66</v>
      </c>
      <c r="R17" s="17"/>
    </row>
    <row r="18" spans="1:19" s="24" customFormat="1" ht="24.95" customHeight="1">
      <c r="A18" s="17">
        <v>16</v>
      </c>
      <c r="B18" s="17">
        <v>16</v>
      </c>
      <c r="C18" s="18" t="s">
        <v>147</v>
      </c>
      <c r="D18" s="19">
        <v>1107.1400000000001</v>
      </c>
      <c r="E18" s="19">
        <v>1719.13</v>
      </c>
      <c r="F18" s="20">
        <f t="shared" si="1"/>
        <v>-0.35598820333540798</v>
      </c>
      <c r="G18" s="21">
        <v>181</v>
      </c>
      <c r="H18" s="21">
        <v>9</v>
      </c>
      <c r="I18" s="22">
        <f t="shared" si="0"/>
        <v>20.111111111111111</v>
      </c>
      <c r="J18" s="22">
        <v>3</v>
      </c>
      <c r="K18" s="21">
        <v>10</v>
      </c>
      <c r="L18" s="19">
        <v>53839.06</v>
      </c>
      <c r="M18" s="21">
        <v>8147</v>
      </c>
      <c r="N18" s="23">
        <v>45478</v>
      </c>
      <c r="O18" s="30" t="s">
        <v>18</v>
      </c>
      <c r="R18" s="17"/>
    </row>
    <row r="19" spans="1:19" s="24" customFormat="1" ht="24.95" customHeight="1">
      <c r="A19" s="17">
        <v>17</v>
      </c>
      <c r="B19" s="17">
        <v>12</v>
      </c>
      <c r="C19" s="18" t="s">
        <v>207</v>
      </c>
      <c r="D19" s="28">
        <v>1012.12</v>
      </c>
      <c r="E19" s="28">
        <v>5574.88</v>
      </c>
      <c r="F19" s="20">
        <f t="shared" si="1"/>
        <v>-0.81844990385443273</v>
      </c>
      <c r="G19" s="29">
        <v>137</v>
      </c>
      <c r="H19" s="21">
        <v>9</v>
      </c>
      <c r="I19" s="22">
        <f t="shared" si="0"/>
        <v>15.222222222222221</v>
      </c>
      <c r="J19" s="22">
        <v>2</v>
      </c>
      <c r="K19" s="21">
        <v>3</v>
      </c>
      <c r="L19" s="28">
        <v>26593.58</v>
      </c>
      <c r="M19" s="29">
        <v>3716</v>
      </c>
      <c r="N19" s="23">
        <v>45527</v>
      </c>
      <c r="O19" s="30" t="s">
        <v>11</v>
      </c>
      <c r="R19" s="17"/>
    </row>
    <row r="20" spans="1:19" s="68" customFormat="1" ht="24.95" customHeight="1">
      <c r="A20" s="17">
        <v>18</v>
      </c>
      <c r="B20" s="17">
        <v>14</v>
      </c>
      <c r="C20" s="18" t="s">
        <v>232</v>
      </c>
      <c r="D20" s="19">
        <v>836</v>
      </c>
      <c r="E20" s="19">
        <v>5188</v>
      </c>
      <c r="F20" s="20">
        <f t="shared" si="1"/>
        <v>-0.83885890516576711</v>
      </c>
      <c r="G20" s="21">
        <v>144</v>
      </c>
      <c r="H20" s="22" t="s">
        <v>15</v>
      </c>
      <c r="I20" s="22" t="s">
        <v>15</v>
      </c>
      <c r="J20" s="22">
        <v>5</v>
      </c>
      <c r="K20" s="21">
        <v>2</v>
      </c>
      <c r="L20" s="19">
        <v>6025</v>
      </c>
      <c r="M20" s="21">
        <v>979</v>
      </c>
      <c r="N20" s="23">
        <v>45534</v>
      </c>
      <c r="O20" s="30" t="s">
        <v>13</v>
      </c>
      <c r="R20" s="67"/>
    </row>
    <row r="21" spans="1:19" s="24" customFormat="1" ht="24.75" customHeight="1">
      <c r="A21" s="17">
        <v>19</v>
      </c>
      <c r="B21" s="17">
        <v>13</v>
      </c>
      <c r="C21" s="18" t="s">
        <v>208</v>
      </c>
      <c r="D21" s="28">
        <v>427.7</v>
      </c>
      <c r="E21" s="28">
        <v>5246.15</v>
      </c>
      <c r="F21" s="20">
        <f t="shared" si="1"/>
        <v>-0.91847354726799657</v>
      </c>
      <c r="G21" s="29">
        <v>58</v>
      </c>
      <c r="H21" s="22" t="s">
        <v>15</v>
      </c>
      <c r="I21" s="22" t="s">
        <v>15</v>
      </c>
      <c r="J21" s="22">
        <v>3</v>
      </c>
      <c r="K21" s="21">
        <v>4</v>
      </c>
      <c r="L21" s="28">
        <v>25001</v>
      </c>
      <c r="M21" s="29">
        <v>5001</v>
      </c>
      <c r="N21" s="23">
        <v>45520</v>
      </c>
      <c r="O21" s="30" t="s">
        <v>209</v>
      </c>
      <c r="R21" s="17"/>
    </row>
    <row r="22" spans="1:19" s="27" customFormat="1" ht="24.75" customHeight="1">
      <c r="A22" s="17">
        <v>20</v>
      </c>
      <c r="B22" s="17">
        <v>32</v>
      </c>
      <c r="C22" s="25" t="s">
        <v>84</v>
      </c>
      <c r="D22" s="28">
        <v>351.20000000000005</v>
      </c>
      <c r="E22" s="28">
        <v>66</v>
      </c>
      <c r="F22" s="20">
        <f t="shared" si="1"/>
        <v>4.3212121212121222</v>
      </c>
      <c r="G22" s="29">
        <v>58</v>
      </c>
      <c r="H22" s="21">
        <v>6</v>
      </c>
      <c r="I22" s="22">
        <f>G22/H22</f>
        <v>9.6666666666666661</v>
      </c>
      <c r="J22" s="22">
        <v>2</v>
      </c>
      <c r="K22" s="22" t="s">
        <v>15</v>
      </c>
      <c r="L22" s="28">
        <v>13874.949999999997</v>
      </c>
      <c r="M22" s="29">
        <v>2207</v>
      </c>
      <c r="N22" s="23">
        <v>45408</v>
      </c>
      <c r="O22" s="53" t="s">
        <v>82</v>
      </c>
      <c r="R22" s="17"/>
      <c r="S22" s="24"/>
    </row>
    <row r="23" spans="1:19" s="27" customFormat="1" ht="24.95" customHeight="1">
      <c r="A23" s="17">
        <v>21</v>
      </c>
      <c r="B23" s="22" t="s">
        <v>17</v>
      </c>
      <c r="C23" s="25" t="s">
        <v>244</v>
      </c>
      <c r="D23" s="19">
        <v>296.74</v>
      </c>
      <c r="E23" s="19" t="s">
        <v>15</v>
      </c>
      <c r="F23" s="20" t="s">
        <v>15</v>
      </c>
      <c r="G23" s="21">
        <v>60</v>
      </c>
      <c r="H23" s="21">
        <v>22</v>
      </c>
      <c r="I23" s="22">
        <f>G23/H23</f>
        <v>2.7272727272727271</v>
      </c>
      <c r="J23" s="22">
        <v>9</v>
      </c>
      <c r="K23" s="22">
        <v>1</v>
      </c>
      <c r="L23" s="19">
        <v>296.74</v>
      </c>
      <c r="M23" s="21">
        <v>60</v>
      </c>
      <c r="N23" s="23">
        <v>45541</v>
      </c>
      <c r="O23" s="53" t="s">
        <v>245</v>
      </c>
      <c r="R23" s="17"/>
      <c r="S23" s="24"/>
    </row>
    <row r="24" spans="1:19" s="27" customFormat="1" ht="24.75" customHeight="1">
      <c r="A24" s="17">
        <v>22</v>
      </c>
      <c r="B24" s="17">
        <v>22</v>
      </c>
      <c r="C24" s="18" t="s">
        <v>188</v>
      </c>
      <c r="D24" s="19">
        <v>185</v>
      </c>
      <c r="E24" s="19">
        <v>290</v>
      </c>
      <c r="F24" s="20">
        <f>(D24-E24)/E24</f>
        <v>-0.36206896551724138</v>
      </c>
      <c r="G24" s="21">
        <v>35</v>
      </c>
      <c r="H24" s="20" t="s">
        <v>15</v>
      </c>
      <c r="I24" s="20" t="s">
        <v>15</v>
      </c>
      <c r="J24" s="17">
        <v>1</v>
      </c>
      <c r="K24" s="21">
        <v>7</v>
      </c>
      <c r="L24" s="19">
        <v>7122</v>
      </c>
      <c r="M24" s="21">
        <v>1179</v>
      </c>
      <c r="N24" s="23">
        <v>45499</v>
      </c>
      <c r="O24" s="30" t="s">
        <v>13</v>
      </c>
    </row>
    <row r="25" spans="1:19" s="27" customFormat="1" ht="24.75" customHeight="1">
      <c r="A25" s="17">
        <v>23</v>
      </c>
      <c r="B25" s="17">
        <v>21</v>
      </c>
      <c r="C25" s="25" t="s">
        <v>174</v>
      </c>
      <c r="D25" s="19">
        <v>175.4</v>
      </c>
      <c r="E25" s="19">
        <v>355.6</v>
      </c>
      <c r="F25" s="20">
        <f>(D25-E25)/E25</f>
        <v>-0.50674915635545559</v>
      </c>
      <c r="G25" s="21">
        <v>29</v>
      </c>
      <c r="H25" s="21">
        <v>5</v>
      </c>
      <c r="I25" s="22">
        <f>G25/H25</f>
        <v>5.8</v>
      </c>
      <c r="J25" s="22">
        <v>2</v>
      </c>
      <c r="K25" s="21">
        <v>8</v>
      </c>
      <c r="L25" s="19">
        <v>6801.7</v>
      </c>
      <c r="M25" s="21">
        <v>1079</v>
      </c>
      <c r="N25" s="23">
        <v>45492</v>
      </c>
      <c r="O25" s="53" t="s">
        <v>116</v>
      </c>
    </row>
    <row r="26" spans="1:19" s="27" customFormat="1" ht="24.75" customHeight="1">
      <c r="A26" s="17">
        <v>24</v>
      </c>
      <c r="B26" s="17">
        <v>11</v>
      </c>
      <c r="C26" s="18" t="s">
        <v>223</v>
      </c>
      <c r="D26" s="19">
        <v>128</v>
      </c>
      <c r="E26" s="19">
        <v>5881</v>
      </c>
      <c r="F26" s="20">
        <f>(D26-E26)/E26</f>
        <v>-0.97823499404863123</v>
      </c>
      <c r="G26" s="21">
        <v>22</v>
      </c>
      <c r="H26" s="22" t="s">
        <v>15</v>
      </c>
      <c r="I26" s="22" t="s">
        <v>15</v>
      </c>
      <c r="J26" s="17">
        <v>2</v>
      </c>
      <c r="K26" s="22">
        <v>3</v>
      </c>
      <c r="L26" s="19">
        <v>15357</v>
      </c>
      <c r="M26" s="21">
        <v>3232</v>
      </c>
      <c r="N26" s="23">
        <v>45527</v>
      </c>
      <c r="O26" s="30" t="s">
        <v>13</v>
      </c>
    </row>
    <row r="27" spans="1:19" s="27" customFormat="1" ht="24.75" customHeight="1">
      <c r="A27" s="17">
        <v>25</v>
      </c>
      <c r="B27" s="17">
        <v>27</v>
      </c>
      <c r="C27" s="18" t="s">
        <v>46</v>
      </c>
      <c r="D27" s="19">
        <v>104.4</v>
      </c>
      <c r="E27" s="19">
        <v>144.80000000000001</v>
      </c>
      <c r="F27" s="20">
        <f>(D27-E27)/E27</f>
        <v>-0.27900552486187846</v>
      </c>
      <c r="G27" s="21">
        <v>15</v>
      </c>
      <c r="H27" s="22">
        <v>2</v>
      </c>
      <c r="I27" s="22">
        <v>9</v>
      </c>
      <c r="J27" s="17">
        <v>2</v>
      </c>
      <c r="K27" s="21">
        <v>25</v>
      </c>
      <c r="L27" s="19">
        <v>68955.100000000006</v>
      </c>
      <c r="M27" s="21">
        <v>10645</v>
      </c>
      <c r="N27" s="23">
        <v>45379</v>
      </c>
      <c r="O27" s="30" t="s">
        <v>25</v>
      </c>
    </row>
    <row r="28" spans="1:19" s="24" customFormat="1" ht="24.95" customHeight="1">
      <c r="A28" s="17">
        <v>26</v>
      </c>
      <c r="B28" s="17" t="s">
        <v>15</v>
      </c>
      <c r="C28" s="25" t="s">
        <v>44</v>
      </c>
      <c r="D28" s="19">
        <v>102</v>
      </c>
      <c r="E28" s="19" t="s">
        <v>15</v>
      </c>
      <c r="F28" s="20" t="s">
        <v>15</v>
      </c>
      <c r="G28" s="21">
        <v>23</v>
      </c>
      <c r="H28" s="21">
        <v>2</v>
      </c>
      <c r="I28" s="22">
        <f t="shared" ref="I28:I34" si="2">G28/H28</f>
        <v>11.5</v>
      </c>
      <c r="J28" s="22">
        <v>1</v>
      </c>
      <c r="K28" s="21" t="s">
        <v>15</v>
      </c>
      <c r="L28" s="19">
        <v>62126.28</v>
      </c>
      <c r="M28" s="21">
        <v>9834</v>
      </c>
      <c r="N28" s="23">
        <v>45379</v>
      </c>
      <c r="O28" s="53" t="s">
        <v>25</v>
      </c>
      <c r="R28" s="17"/>
    </row>
    <row r="29" spans="1:19" s="24" customFormat="1" ht="24.95" customHeight="1">
      <c r="A29" s="17">
        <v>27</v>
      </c>
      <c r="B29" s="17">
        <v>23</v>
      </c>
      <c r="C29" s="25" t="s">
        <v>237</v>
      </c>
      <c r="D29" s="19">
        <v>62.5</v>
      </c>
      <c r="E29" s="19">
        <v>273.19</v>
      </c>
      <c r="F29" s="20">
        <f>(D29-E29)/E29</f>
        <v>-0.77122149419817709</v>
      </c>
      <c r="G29" s="21">
        <v>9</v>
      </c>
      <c r="H29" s="21">
        <v>10</v>
      </c>
      <c r="I29" s="22">
        <f t="shared" si="2"/>
        <v>0.9</v>
      </c>
      <c r="J29" s="22">
        <v>3</v>
      </c>
      <c r="K29" s="22">
        <v>2</v>
      </c>
      <c r="L29" s="19">
        <v>353.69</v>
      </c>
      <c r="M29" s="21">
        <v>60</v>
      </c>
      <c r="N29" s="23">
        <v>45534</v>
      </c>
      <c r="O29" s="53" t="s">
        <v>95</v>
      </c>
      <c r="R29" s="17"/>
    </row>
    <row r="30" spans="1:19" s="24" customFormat="1" ht="24.95" customHeight="1">
      <c r="A30" s="17">
        <v>28</v>
      </c>
      <c r="B30" s="20" t="s">
        <v>15</v>
      </c>
      <c r="C30" s="18" t="s">
        <v>115</v>
      </c>
      <c r="D30" s="19">
        <v>50</v>
      </c>
      <c r="E30" s="20" t="s">
        <v>15</v>
      </c>
      <c r="F30" s="20" t="s">
        <v>15</v>
      </c>
      <c r="G30" s="21">
        <v>25</v>
      </c>
      <c r="H30" s="21">
        <v>1</v>
      </c>
      <c r="I30" s="22">
        <f t="shared" si="2"/>
        <v>25</v>
      </c>
      <c r="J30" s="22">
        <v>1</v>
      </c>
      <c r="K30" s="20" t="s">
        <v>15</v>
      </c>
      <c r="L30" s="19">
        <v>2419.58</v>
      </c>
      <c r="M30" s="21">
        <v>436</v>
      </c>
      <c r="N30" s="23">
        <v>45457</v>
      </c>
      <c r="O30" s="30" t="s">
        <v>116</v>
      </c>
      <c r="R30" s="17"/>
    </row>
    <row r="31" spans="1:19" s="24" customFormat="1" ht="24.95" customHeight="1">
      <c r="A31" s="17">
        <v>29</v>
      </c>
      <c r="B31" s="17">
        <v>30</v>
      </c>
      <c r="C31" s="18" t="s">
        <v>149</v>
      </c>
      <c r="D31" s="28">
        <v>46.2</v>
      </c>
      <c r="E31" s="28">
        <v>78.2</v>
      </c>
      <c r="F31" s="20">
        <f>(D31-E31)/E31</f>
        <v>-0.40920716112531969</v>
      </c>
      <c r="G31" s="29">
        <v>7</v>
      </c>
      <c r="H31" s="21">
        <v>2</v>
      </c>
      <c r="I31" s="22">
        <f t="shared" si="2"/>
        <v>3.5</v>
      </c>
      <c r="J31" s="22">
        <v>2</v>
      </c>
      <c r="K31" s="20" t="s">
        <v>15</v>
      </c>
      <c r="L31" s="28">
        <v>216178.6</v>
      </c>
      <c r="M31" s="29" t="s">
        <v>241</v>
      </c>
      <c r="N31" s="23">
        <v>45191</v>
      </c>
      <c r="O31" s="30" t="s">
        <v>25</v>
      </c>
      <c r="R31" s="17"/>
    </row>
    <row r="32" spans="1:19" s="24" customFormat="1" ht="24.95" customHeight="1">
      <c r="A32" s="17">
        <v>30</v>
      </c>
      <c r="B32" s="17">
        <v>35</v>
      </c>
      <c r="C32" s="18" t="s">
        <v>60</v>
      </c>
      <c r="D32" s="28">
        <v>38</v>
      </c>
      <c r="E32" s="28">
        <v>53</v>
      </c>
      <c r="F32" s="20">
        <f>(D32-E32)/E32</f>
        <v>-0.28301886792452829</v>
      </c>
      <c r="G32" s="29">
        <v>6</v>
      </c>
      <c r="H32" s="21">
        <v>1</v>
      </c>
      <c r="I32" s="22">
        <f t="shared" si="2"/>
        <v>6</v>
      </c>
      <c r="J32" s="22">
        <v>1</v>
      </c>
      <c r="K32" s="20" t="s">
        <v>15</v>
      </c>
      <c r="L32" s="28">
        <v>11781.2</v>
      </c>
      <c r="M32" s="29">
        <v>1826</v>
      </c>
      <c r="N32" s="23">
        <v>45345</v>
      </c>
      <c r="O32" s="30" t="s">
        <v>68</v>
      </c>
      <c r="R32" s="17"/>
    </row>
    <row r="33" spans="1:18" s="24" customFormat="1" ht="24.95" customHeight="1">
      <c r="A33" s="17">
        <v>31</v>
      </c>
      <c r="B33" s="17">
        <v>36</v>
      </c>
      <c r="C33" s="18" t="s">
        <v>120</v>
      </c>
      <c r="D33" s="19">
        <v>38</v>
      </c>
      <c r="E33" s="19">
        <v>48</v>
      </c>
      <c r="F33" s="20">
        <f>(D33-E33)/E33</f>
        <v>-0.20833333333333334</v>
      </c>
      <c r="G33" s="21">
        <v>10</v>
      </c>
      <c r="H33" s="21">
        <v>1</v>
      </c>
      <c r="I33" s="22">
        <f t="shared" si="2"/>
        <v>10</v>
      </c>
      <c r="J33" s="22">
        <v>1</v>
      </c>
      <c r="K33" s="21">
        <v>13</v>
      </c>
      <c r="L33" s="19">
        <v>22999.130000000008</v>
      </c>
      <c r="M33" s="21">
        <v>3680</v>
      </c>
      <c r="N33" s="23">
        <v>45464</v>
      </c>
      <c r="O33" s="30" t="s">
        <v>14</v>
      </c>
      <c r="R33" s="17"/>
    </row>
    <row r="34" spans="1:18" s="24" customFormat="1" ht="24.95" customHeight="1">
      <c r="A34" s="17">
        <v>32</v>
      </c>
      <c r="B34" s="20" t="s">
        <v>15</v>
      </c>
      <c r="C34" s="18" t="s">
        <v>195</v>
      </c>
      <c r="D34" s="19">
        <v>30</v>
      </c>
      <c r="E34" s="20" t="s">
        <v>15</v>
      </c>
      <c r="F34" s="20" t="s">
        <v>15</v>
      </c>
      <c r="G34" s="21">
        <v>5</v>
      </c>
      <c r="H34" s="22">
        <v>1</v>
      </c>
      <c r="I34" s="22">
        <f t="shared" si="2"/>
        <v>5</v>
      </c>
      <c r="J34" s="17">
        <v>1</v>
      </c>
      <c r="K34" s="21" t="s">
        <v>15</v>
      </c>
      <c r="L34" s="19">
        <v>9381.16</v>
      </c>
      <c r="M34" s="21">
        <v>1448</v>
      </c>
      <c r="N34" s="23">
        <v>45506</v>
      </c>
      <c r="O34" s="30" t="s">
        <v>63</v>
      </c>
      <c r="R34" s="17"/>
    </row>
    <row r="35" spans="1:18" s="24" customFormat="1" ht="24.95" customHeight="1">
      <c r="A35" s="17">
        <v>33</v>
      </c>
      <c r="B35" s="17">
        <v>34</v>
      </c>
      <c r="C35" s="25" t="s">
        <v>176</v>
      </c>
      <c r="D35" s="19">
        <v>20</v>
      </c>
      <c r="E35" s="19">
        <v>56</v>
      </c>
      <c r="F35" s="20">
        <f>(D35-E35)/E35</f>
        <v>-0.6428571428571429</v>
      </c>
      <c r="G35" s="21">
        <v>4</v>
      </c>
      <c r="H35" s="20" t="s">
        <v>15</v>
      </c>
      <c r="I35" s="20" t="s">
        <v>15</v>
      </c>
      <c r="J35" s="22">
        <v>1</v>
      </c>
      <c r="K35" s="21">
        <v>8</v>
      </c>
      <c r="L35" s="19">
        <v>10885</v>
      </c>
      <c r="M35" s="21">
        <v>2353</v>
      </c>
      <c r="N35" s="23">
        <v>45492</v>
      </c>
      <c r="O35" s="53" t="s">
        <v>13</v>
      </c>
      <c r="R35" s="17"/>
    </row>
    <row r="36" spans="1:18" s="24" customFormat="1" ht="24.95" customHeight="1">
      <c r="A36" s="17">
        <v>34</v>
      </c>
      <c r="B36" s="17">
        <v>26</v>
      </c>
      <c r="C36" s="18" t="s">
        <v>233</v>
      </c>
      <c r="D36" s="19">
        <v>18</v>
      </c>
      <c r="E36" s="19">
        <v>164</v>
      </c>
      <c r="F36" s="20">
        <f>(D36-E36)/E36</f>
        <v>-0.8902439024390244</v>
      </c>
      <c r="G36" s="21">
        <v>3</v>
      </c>
      <c r="H36" s="21">
        <v>1</v>
      </c>
      <c r="I36" s="22">
        <v>3</v>
      </c>
      <c r="J36" s="22">
        <v>1</v>
      </c>
      <c r="K36" s="20" t="s">
        <v>15</v>
      </c>
      <c r="L36" s="19">
        <v>32508.899999999998</v>
      </c>
      <c r="M36" s="21">
        <v>5080</v>
      </c>
      <c r="N36" s="23">
        <v>45198</v>
      </c>
      <c r="O36" s="30" t="s">
        <v>14</v>
      </c>
      <c r="R36" s="17"/>
    </row>
    <row r="37" spans="1:18" s="24" customFormat="1" ht="24.95" customHeight="1">
      <c r="A37" s="17">
        <v>35</v>
      </c>
      <c r="B37" s="17">
        <v>28</v>
      </c>
      <c r="C37" s="18" t="s">
        <v>185</v>
      </c>
      <c r="D37" s="19">
        <v>15</v>
      </c>
      <c r="E37" s="19">
        <v>102</v>
      </c>
      <c r="F37" s="20">
        <f>(D37-E37)/E37</f>
        <v>-0.8529411764705882</v>
      </c>
      <c r="G37" s="21">
        <v>3</v>
      </c>
      <c r="H37" s="22">
        <v>2</v>
      </c>
      <c r="I37" s="22">
        <f>G37/H37</f>
        <v>1.5</v>
      </c>
      <c r="J37" s="17">
        <v>1</v>
      </c>
      <c r="K37" s="21">
        <v>7</v>
      </c>
      <c r="L37" s="19">
        <v>38474.020000000004</v>
      </c>
      <c r="M37" s="21">
        <v>7705</v>
      </c>
      <c r="N37" s="23">
        <v>45499</v>
      </c>
      <c r="O37" s="30" t="s">
        <v>14</v>
      </c>
      <c r="R37" s="17"/>
    </row>
    <row r="38" spans="1:18" ht="24.75" customHeight="1">
      <c r="A38" s="46"/>
      <c r="B38" s="57" t="s">
        <v>26</v>
      </c>
      <c r="C38" s="48" t="s">
        <v>69</v>
      </c>
      <c r="D38" s="49">
        <f>SUBTOTAL(109,Table1324567891011121314151716[Pajamos 
(GBO)])</f>
        <v>215942.92999999996</v>
      </c>
      <c r="E38" s="49">
        <f>SUBTOTAL(109,Table13245678910111213141517[Pajamos 
(GBO)])</f>
        <v>252230.93000000002</v>
      </c>
      <c r="F38" s="50">
        <f t="shared" ref="F38" si="3">(D38-E38)/E38</f>
        <v>-0.1438681608159636</v>
      </c>
      <c r="G38" s="52">
        <f>SUBTOTAL(109,Table1324567891011121314151716[Žiūrovų sk. 
(ADM)])</f>
        <v>33209</v>
      </c>
      <c r="H38" s="57"/>
      <c r="I38" s="46"/>
      <c r="J38" s="46"/>
      <c r="K38" s="57"/>
      <c r="L38" s="54"/>
      <c r="M38" s="57"/>
      <c r="N38" s="46"/>
      <c r="O38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A8B13-DCDC-4D66-A5C7-B4E49FF62F25}">
  <sheetPr>
    <pageSetUpPr fitToPage="1"/>
  </sheetPr>
  <dimension ref="A1:XFC41"/>
  <sheetViews>
    <sheetView topLeftCell="A14" zoomScale="60" zoomScaleNormal="60" workbookViewId="0">
      <selection activeCell="C19" sqref="C19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58" customWidth="1"/>
    <col min="12" max="12" width="20.7109375" style="43" customWidth="1"/>
    <col min="13" max="13" width="20.7109375" style="58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3" t="s">
        <v>231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17">
        <v>1</v>
      </c>
      <c r="C3" s="18" t="s">
        <v>191</v>
      </c>
      <c r="D3" s="19">
        <v>64516.52</v>
      </c>
      <c r="E3" s="19">
        <v>106740.03</v>
      </c>
      <c r="F3" s="20">
        <f>(D3-E3)/E3</f>
        <v>-0.39557333832490027</v>
      </c>
      <c r="G3" s="21">
        <v>8296</v>
      </c>
      <c r="H3" s="21">
        <v>352</v>
      </c>
      <c r="I3" s="22">
        <f t="shared" ref="I3:I12" si="0">G3/H3</f>
        <v>23.568181818181817</v>
      </c>
      <c r="J3" s="22">
        <v>18</v>
      </c>
      <c r="K3" s="21">
        <v>4</v>
      </c>
      <c r="L3" s="19">
        <v>709414.07</v>
      </c>
      <c r="M3" s="21">
        <v>98059</v>
      </c>
      <c r="N3" s="23">
        <v>45513</v>
      </c>
      <c r="O3" s="30" t="s">
        <v>61</v>
      </c>
    </row>
    <row r="4" spans="1:18" s="24" customFormat="1" ht="24.95" customHeight="1">
      <c r="A4" s="17">
        <v>2</v>
      </c>
      <c r="B4" s="17">
        <v>3</v>
      </c>
      <c r="C4" s="18" t="s">
        <v>146</v>
      </c>
      <c r="D4" s="19">
        <v>35344.699999999997</v>
      </c>
      <c r="E4" s="19">
        <v>35161.370000000003</v>
      </c>
      <c r="F4" s="20">
        <f>(D4-E4)/E4</f>
        <v>5.2139606619421956E-3</v>
      </c>
      <c r="G4" s="21">
        <v>6290</v>
      </c>
      <c r="H4" s="21">
        <v>226</v>
      </c>
      <c r="I4" s="22">
        <f t="shared" si="0"/>
        <v>27.831858407079647</v>
      </c>
      <c r="J4" s="22">
        <v>18</v>
      </c>
      <c r="K4" s="21">
        <v>9</v>
      </c>
      <c r="L4" s="19">
        <v>1102477.24</v>
      </c>
      <c r="M4" s="21">
        <v>191322</v>
      </c>
      <c r="N4" s="23">
        <v>45478</v>
      </c>
      <c r="O4" s="30" t="s">
        <v>63</v>
      </c>
      <c r="R4" s="17"/>
    </row>
    <row r="5" spans="1:18" s="24" customFormat="1" ht="24.95" customHeight="1">
      <c r="A5" s="17">
        <v>3</v>
      </c>
      <c r="B5" s="17">
        <v>2</v>
      </c>
      <c r="C5" s="18" t="s">
        <v>178</v>
      </c>
      <c r="D5" s="19">
        <v>24964.39</v>
      </c>
      <c r="E5" s="19">
        <v>39383.24</v>
      </c>
      <c r="F5" s="20">
        <f>(D5-E5)/E5</f>
        <v>-0.36611639875236268</v>
      </c>
      <c r="G5" s="21">
        <v>3591</v>
      </c>
      <c r="H5" s="21">
        <v>190</v>
      </c>
      <c r="I5" s="22">
        <f t="shared" si="0"/>
        <v>18.899999999999999</v>
      </c>
      <c r="J5" s="22">
        <v>11</v>
      </c>
      <c r="K5" s="21">
        <v>6</v>
      </c>
      <c r="L5" s="19">
        <v>713275.67</v>
      </c>
      <c r="M5" s="21">
        <v>91986</v>
      </c>
      <c r="N5" s="23">
        <v>45499</v>
      </c>
      <c r="O5" s="30" t="s">
        <v>18</v>
      </c>
      <c r="R5" s="17"/>
    </row>
    <row r="6" spans="1:18" s="24" customFormat="1" ht="24.95" customHeight="1">
      <c r="A6" s="17">
        <v>4</v>
      </c>
      <c r="B6" s="17">
        <v>6</v>
      </c>
      <c r="C6" s="25" t="s">
        <v>106</v>
      </c>
      <c r="D6" s="19">
        <v>21786.27</v>
      </c>
      <c r="E6" s="19">
        <v>20676.48</v>
      </c>
      <c r="F6" s="20">
        <f>(D6-E6)/E6</f>
        <v>5.3674029622063371E-2</v>
      </c>
      <c r="G6" s="21">
        <v>4025</v>
      </c>
      <c r="H6" s="21">
        <v>161</v>
      </c>
      <c r="I6" s="22">
        <f t="shared" si="0"/>
        <v>25</v>
      </c>
      <c r="J6" s="22">
        <v>13</v>
      </c>
      <c r="K6" s="21">
        <v>12</v>
      </c>
      <c r="L6" s="19">
        <v>1269684.7</v>
      </c>
      <c r="M6" s="21">
        <v>219537</v>
      </c>
      <c r="N6" s="23">
        <v>45457</v>
      </c>
      <c r="O6" s="30" t="s">
        <v>18</v>
      </c>
      <c r="R6" s="17"/>
    </row>
    <row r="7" spans="1:18" s="24" customFormat="1" ht="24.95" customHeight="1">
      <c r="A7" s="17">
        <v>5</v>
      </c>
      <c r="B7" s="17">
        <v>4</v>
      </c>
      <c r="C7" s="25" t="s">
        <v>203</v>
      </c>
      <c r="D7" s="19">
        <v>18037.05</v>
      </c>
      <c r="E7" s="19">
        <v>31828.16</v>
      </c>
      <c r="F7" s="20">
        <f>(D7-E7)/E7</f>
        <v>-0.43329900314689884</v>
      </c>
      <c r="G7" s="21">
        <v>2450</v>
      </c>
      <c r="H7" s="21">
        <v>162</v>
      </c>
      <c r="I7" s="22">
        <f t="shared" si="0"/>
        <v>15.123456790123457</v>
      </c>
      <c r="J7" s="22">
        <v>12</v>
      </c>
      <c r="K7" s="21">
        <v>3</v>
      </c>
      <c r="L7" s="19">
        <v>116666.42</v>
      </c>
      <c r="M7" s="21">
        <v>16283</v>
      </c>
      <c r="N7" s="23">
        <v>45520</v>
      </c>
      <c r="O7" s="53" t="s">
        <v>18</v>
      </c>
      <c r="R7" s="17"/>
    </row>
    <row r="8" spans="1:18" s="24" customFormat="1" ht="24.95" customHeight="1">
      <c r="A8" s="17">
        <v>6</v>
      </c>
      <c r="B8" s="17" t="s">
        <v>17</v>
      </c>
      <c r="C8" s="18" t="s">
        <v>221</v>
      </c>
      <c r="D8" s="28">
        <v>15801.98</v>
      </c>
      <c r="E8" s="20" t="s">
        <v>15</v>
      </c>
      <c r="F8" s="20" t="s">
        <v>15</v>
      </c>
      <c r="G8" s="29">
        <v>3386</v>
      </c>
      <c r="H8" s="21">
        <v>218</v>
      </c>
      <c r="I8" s="22">
        <f t="shared" si="0"/>
        <v>15.532110091743119</v>
      </c>
      <c r="J8" s="22">
        <v>17</v>
      </c>
      <c r="K8" s="21">
        <v>1</v>
      </c>
      <c r="L8" s="28">
        <v>17302.93</v>
      </c>
      <c r="M8" s="29">
        <v>3672</v>
      </c>
      <c r="N8" s="23">
        <v>45534</v>
      </c>
      <c r="O8" s="30" t="s">
        <v>66</v>
      </c>
      <c r="R8" s="17"/>
    </row>
    <row r="9" spans="1:18" s="24" customFormat="1" ht="24.95" customHeight="1">
      <c r="A9" s="17">
        <v>7</v>
      </c>
      <c r="B9" s="17">
        <v>5</v>
      </c>
      <c r="C9" s="18" t="s">
        <v>206</v>
      </c>
      <c r="D9" s="28">
        <v>14757.59</v>
      </c>
      <c r="E9" s="28">
        <v>25171.34</v>
      </c>
      <c r="F9" s="20">
        <f>(D9-E9)/E9</f>
        <v>-0.41371456585148031</v>
      </c>
      <c r="G9" s="29">
        <v>2249</v>
      </c>
      <c r="H9" s="21">
        <v>129</v>
      </c>
      <c r="I9" s="22">
        <f t="shared" si="0"/>
        <v>17.434108527131784</v>
      </c>
      <c r="J9" s="22">
        <v>14</v>
      </c>
      <c r="K9" s="21">
        <v>2</v>
      </c>
      <c r="L9" s="28">
        <v>42681.38</v>
      </c>
      <c r="M9" s="29">
        <v>6932</v>
      </c>
      <c r="N9" s="23">
        <v>45527</v>
      </c>
      <c r="O9" s="30" t="s">
        <v>12</v>
      </c>
      <c r="R9" s="17"/>
    </row>
    <row r="10" spans="1:18" s="24" customFormat="1" ht="24.75" customHeight="1">
      <c r="A10" s="17">
        <v>8</v>
      </c>
      <c r="B10" s="17" t="s">
        <v>17</v>
      </c>
      <c r="C10" s="18" t="s">
        <v>222</v>
      </c>
      <c r="D10" s="28">
        <v>12844.16</v>
      </c>
      <c r="E10" s="20" t="s">
        <v>15</v>
      </c>
      <c r="F10" s="20" t="s">
        <v>15</v>
      </c>
      <c r="G10" s="29">
        <v>1977</v>
      </c>
      <c r="H10" s="21">
        <v>160</v>
      </c>
      <c r="I10" s="22">
        <f t="shared" si="0"/>
        <v>12.356249999999999</v>
      </c>
      <c r="J10" s="22">
        <v>13</v>
      </c>
      <c r="K10" s="21">
        <v>1</v>
      </c>
      <c r="L10" s="28">
        <v>14005.79</v>
      </c>
      <c r="M10" s="29">
        <v>2140</v>
      </c>
      <c r="N10" s="23">
        <v>45534</v>
      </c>
      <c r="O10" s="30" t="s">
        <v>66</v>
      </c>
      <c r="R10" s="17"/>
    </row>
    <row r="11" spans="1:18" s="24" customFormat="1" ht="24.95" customHeight="1">
      <c r="A11" s="17">
        <v>9</v>
      </c>
      <c r="B11" s="17">
        <v>8</v>
      </c>
      <c r="C11" s="18" t="s">
        <v>193</v>
      </c>
      <c r="D11" s="19">
        <v>6301.59</v>
      </c>
      <c r="E11" s="19">
        <v>10211.870000000001</v>
      </c>
      <c r="F11" s="20">
        <f>(D11-E11)/E11</f>
        <v>-0.38291517616264215</v>
      </c>
      <c r="G11" s="21">
        <v>1236</v>
      </c>
      <c r="H11" s="21">
        <v>77</v>
      </c>
      <c r="I11" s="22">
        <f t="shared" si="0"/>
        <v>16.051948051948052</v>
      </c>
      <c r="J11" s="22">
        <v>10</v>
      </c>
      <c r="K11" s="21">
        <v>4</v>
      </c>
      <c r="L11" s="19">
        <v>65429.73</v>
      </c>
      <c r="M11" s="21">
        <v>12889</v>
      </c>
      <c r="N11" s="23">
        <v>45513</v>
      </c>
      <c r="O11" s="30" t="s">
        <v>11</v>
      </c>
      <c r="R11" s="17"/>
    </row>
    <row r="12" spans="1:18" s="24" customFormat="1" ht="24.95" customHeight="1">
      <c r="A12" s="17">
        <v>10</v>
      </c>
      <c r="B12" s="22" t="s">
        <v>23</v>
      </c>
      <c r="C12" s="18" t="s">
        <v>234</v>
      </c>
      <c r="D12" s="19">
        <v>5895.06</v>
      </c>
      <c r="E12" s="28" t="s">
        <v>15</v>
      </c>
      <c r="F12" s="20" t="s">
        <v>15</v>
      </c>
      <c r="G12" s="21">
        <v>878</v>
      </c>
      <c r="H12" s="21">
        <v>12</v>
      </c>
      <c r="I12" s="22">
        <f t="shared" si="0"/>
        <v>73.166666666666671</v>
      </c>
      <c r="J12" s="22">
        <v>12</v>
      </c>
      <c r="K12" s="21">
        <v>0</v>
      </c>
      <c r="L12" s="19">
        <v>5895.06</v>
      </c>
      <c r="M12" s="21">
        <v>878</v>
      </c>
      <c r="N12" s="23" t="s">
        <v>24</v>
      </c>
      <c r="O12" s="30" t="s">
        <v>12</v>
      </c>
      <c r="R12" s="17"/>
    </row>
    <row r="13" spans="1:18" s="24" customFormat="1" ht="24.95" customHeight="1">
      <c r="A13" s="17">
        <v>11</v>
      </c>
      <c r="B13" s="17">
        <v>9</v>
      </c>
      <c r="C13" s="18" t="s">
        <v>223</v>
      </c>
      <c r="D13" s="19">
        <v>5881</v>
      </c>
      <c r="E13" s="19">
        <v>9349</v>
      </c>
      <c r="F13" s="20">
        <f>(D13-E13)/E13</f>
        <v>-0.3709487645737512</v>
      </c>
      <c r="G13" s="21">
        <v>1229</v>
      </c>
      <c r="H13" s="22" t="s">
        <v>15</v>
      </c>
      <c r="I13" s="22" t="s">
        <v>15</v>
      </c>
      <c r="J13" s="17">
        <v>14</v>
      </c>
      <c r="K13" s="22">
        <v>2</v>
      </c>
      <c r="L13" s="19">
        <v>15230</v>
      </c>
      <c r="M13" s="21">
        <v>3210</v>
      </c>
      <c r="N13" s="23">
        <v>45527</v>
      </c>
      <c r="O13" s="30" t="s">
        <v>13</v>
      </c>
      <c r="R13" s="17"/>
    </row>
    <row r="14" spans="1:18" s="24" customFormat="1" ht="24.95" customHeight="1">
      <c r="A14" s="17">
        <v>12</v>
      </c>
      <c r="B14" s="17">
        <v>7</v>
      </c>
      <c r="C14" s="18" t="s">
        <v>207</v>
      </c>
      <c r="D14" s="28">
        <v>5574.88</v>
      </c>
      <c r="E14" s="28">
        <v>17822.560000000001</v>
      </c>
      <c r="F14" s="20">
        <f>(D14-E14)/E14</f>
        <v>-0.68720094083004912</v>
      </c>
      <c r="G14" s="29">
        <v>780</v>
      </c>
      <c r="H14" s="21">
        <v>66</v>
      </c>
      <c r="I14" s="22">
        <f>G14/H14</f>
        <v>11.818181818181818</v>
      </c>
      <c r="J14" s="22">
        <v>10</v>
      </c>
      <c r="K14" s="21">
        <v>2</v>
      </c>
      <c r="L14" s="28">
        <v>25581.46</v>
      </c>
      <c r="M14" s="29">
        <v>3579</v>
      </c>
      <c r="N14" s="23">
        <v>45527</v>
      </c>
      <c r="O14" s="30" t="s">
        <v>11</v>
      </c>
      <c r="R14" s="17"/>
    </row>
    <row r="15" spans="1:18" s="24" customFormat="1" ht="24.95" customHeight="1">
      <c r="A15" s="17">
        <v>13</v>
      </c>
      <c r="B15" s="17">
        <v>11</v>
      </c>
      <c r="C15" s="18" t="s">
        <v>208</v>
      </c>
      <c r="D15" s="28">
        <v>5246.15</v>
      </c>
      <c r="E15" s="28">
        <v>6001.55</v>
      </c>
      <c r="F15" s="20">
        <f>(D15-E15)/E15</f>
        <v>-0.12586748423323985</v>
      </c>
      <c r="G15" s="29">
        <v>1002</v>
      </c>
      <c r="H15" s="22" t="s">
        <v>15</v>
      </c>
      <c r="I15" s="22" t="s">
        <v>15</v>
      </c>
      <c r="J15" s="22">
        <v>8</v>
      </c>
      <c r="K15" s="21">
        <v>3</v>
      </c>
      <c r="L15" s="28">
        <v>24573.24</v>
      </c>
      <c r="M15" s="29">
        <v>4943</v>
      </c>
      <c r="N15" s="23">
        <v>45520</v>
      </c>
      <c r="O15" s="30" t="s">
        <v>209</v>
      </c>
      <c r="R15" s="17"/>
    </row>
    <row r="16" spans="1:18" s="24" customFormat="1" ht="24.95" customHeight="1">
      <c r="A16" s="17">
        <v>14</v>
      </c>
      <c r="B16" s="22" t="s">
        <v>17</v>
      </c>
      <c r="C16" s="18" t="s">
        <v>232</v>
      </c>
      <c r="D16" s="19">
        <v>5188</v>
      </c>
      <c r="E16" s="28" t="s">
        <v>15</v>
      </c>
      <c r="F16" s="20" t="s">
        <v>15</v>
      </c>
      <c r="G16" s="21">
        <v>835</v>
      </c>
      <c r="H16" s="21" t="s">
        <v>15</v>
      </c>
      <c r="I16" s="22" t="s">
        <v>15</v>
      </c>
      <c r="J16" s="22">
        <v>1</v>
      </c>
      <c r="K16" s="21">
        <v>1</v>
      </c>
      <c r="L16" s="19">
        <v>5188</v>
      </c>
      <c r="M16" s="21">
        <v>835</v>
      </c>
      <c r="N16" s="23">
        <v>45534</v>
      </c>
      <c r="O16" s="30" t="s">
        <v>13</v>
      </c>
      <c r="R16" s="17"/>
    </row>
    <row r="17" spans="1:19" s="24" customFormat="1" ht="24.95" customHeight="1">
      <c r="A17" s="17">
        <v>15</v>
      </c>
      <c r="B17" s="17">
        <v>13</v>
      </c>
      <c r="C17" s="18" t="s">
        <v>165</v>
      </c>
      <c r="D17" s="19">
        <v>2425.5</v>
      </c>
      <c r="E17" s="19">
        <v>5369.71</v>
      </c>
      <c r="F17" s="20">
        <f>(D17-E17)/E17</f>
        <v>-0.54829962884401584</v>
      </c>
      <c r="G17" s="21">
        <v>345</v>
      </c>
      <c r="H17" s="21">
        <v>14</v>
      </c>
      <c r="I17" s="22">
        <f>G17/H17</f>
        <v>24.642857142857142</v>
      </c>
      <c r="J17" s="22">
        <v>3</v>
      </c>
      <c r="K17" s="21">
        <v>7</v>
      </c>
      <c r="L17" s="19">
        <v>160412.44</v>
      </c>
      <c r="M17" s="21">
        <v>23446</v>
      </c>
      <c r="N17" s="23">
        <v>45492</v>
      </c>
      <c r="O17" s="30" t="s">
        <v>66</v>
      </c>
      <c r="R17" s="17"/>
    </row>
    <row r="18" spans="1:19" s="24" customFormat="1" ht="24.95" customHeight="1">
      <c r="A18" s="17">
        <v>16</v>
      </c>
      <c r="B18" s="17">
        <v>18</v>
      </c>
      <c r="C18" s="18" t="s">
        <v>147</v>
      </c>
      <c r="D18" s="19">
        <v>1719.13</v>
      </c>
      <c r="E18" s="19">
        <v>926.4</v>
      </c>
      <c r="F18" s="20">
        <f>(D18-E18)/E18</f>
        <v>0.85571027633851482</v>
      </c>
      <c r="G18" s="21">
        <v>288</v>
      </c>
      <c r="H18" s="21">
        <v>10</v>
      </c>
      <c r="I18" s="22">
        <f>G18/H18</f>
        <v>28.8</v>
      </c>
      <c r="J18" s="22">
        <v>3</v>
      </c>
      <c r="K18" s="21">
        <v>9</v>
      </c>
      <c r="L18" s="19">
        <v>52731.92</v>
      </c>
      <c r="M18" s="21">
        <v>7966</v>
      </c>
      <c r="N18" s="23">
        <v>45478</v>
      </c>
      <c r="O18" s="30" t="s">
        <v>18</v>
      </c>
      <c r="R18" s="17"/>
    </row>
    <row r="19" spans="1:19" s="24" customFormat="1" ht="24.95" customHeight="1">
      <c r="A19" s="17">
        <v>17</v>
      </c>
      <c r="B19" s="22" t="s">
        <v>15</v>
      </c>
      <c r="C19" s="18" t="s">
        <v>235</v>
      </c>
      <c r="D19" s="19">
        <v>1219</v>
      </c>
      <c r="E19" s="28" t="s">
        <v>15</v>
      </c>
      <c r="F19" s="20" t="s">
        <v>15</v>
      </c>
      <c r="G19" s="21">
        <v>182</v>
      </c>
      <c r="H19" s="21">
        <v>1</v>
      </c>
      <c r="I19" s="22">
        <v>182</v>
      </c>
      <c r="J19" s="22">
        <v>1</v>
      </c>
      <c r="K19" s="21" t="s">
        <v>15</v>
      </c>
      <c r="L19" s="19">
        <v>156414.18</v>
      </c>
      <c r="M19" s="21">
        <v>30623</v>
      </c>
      <c r="N19" s="23">
        <v>42713</v>
      </c>
      <c r="O19" s="30" t="s">
        <v>66</v>
      </c>
      <c r="R19" s="17"/>
    </row>
    <row r="20" spans="1:19" s="68" customFormat="1" ht="24.95" customHeight="1">
      <c r="A20" s="17">
        <v>18</v>
      </c>
      <c r="B20" s="22" t="s">
        <v>15</v>
      </c>
      <c r="C20" s="18" t="s">
        <v>236</v>
      </c>
      <c r="D20" s="19">
        <v>900</v>
      </c>
      <c r="E20" s="19" t="s">
        <v>15</v>
      </c>
      <c r="F20" s="20" t="s">
        <v>15</v>
      </c>
      <c r="G20" s="21">
        <v>162</v>
      </c>
      <c r="H20" s="21">
        <v>1</v>
      </c>
      <c r="I20" s="22">
        <f>G20/H20</f>
        <v>162</v>
      </c>
      <c r="J20" s="22">
        <v>1</v>
      </c>
      <c r="K20" s="19" t="s">
        <v>15</v>
      </c>
      <c r="L20" s="19">
        <v>26819.8</v>
      </c>
      <c r="M20" s="21">
        <v>1877</v>
      </c>
      <c r="N20" s="23">
        <v>45379</v>
      </c>
      <c r="O20" s="30" t="s">
        <v>25</v>
      </c>
      <c r="R20" s="67"/>
    </row>
    <row r="21" spans="1:19" s="24" customFormat="1" ht="24.75" customHeight="1">
      <c r="A21" s="17">
        <v>19</v>
      </c>
      <c r="B21" s="17">
        <v>12</v>
      </c>
      <c r="C21" s="18" t="s">
        <v>184</v>
      </c>
      <c r="D21" s="19">
        <v>873.59999999999991</v>
      </c>
      <c r="E21" s="19">
        <v>5588.78</v>
      </c>
      <c r="F21" s="20">
        <f>(D21-E21)/E21</f>
        <v>-0.84368681536936518</v>
      </c>
      <c r="G21" s="21">
        <v>121</v>
      </c>
      <c r="H21" s="22" t="s">
        <v>15</v>
      </c>
      <c r="I21" s="22" t="s">
        <v>15</v>
      </c>
      <c r="J21" s="22">
        <v>10</v>
      </c>
      <c r="K21" s="21">
        <v>5</v>
      </c>
      <c r="L21" s="19">
        <v>72747.5</v>
      </c>
      <c r="M21" s="21">
        <v>10734</v>
      </c>
      <c r="N21" s="23">
        <v>45506</v>
      </c>
      <c r="O21" s="30" t="s">
        <v>65</v>
      </c>
      <c r="R21" s="17"/>
    </row>
    <row r="22" spans="1:19" s="27" customFormat="1" ht="24.75" customHeight="1">
      <c r="A22" s="17">
        <v>20</v>
      </c>
      <c r="B22" s="17">
        <v>17</v>
      </c>
      <c r="C22" s="18" t="s">
        <v>186</v>
      </c>
      <c r="D22" s="28">
        <v>610.16999999999996</v>
      </c>
      <c r="E22" s="28">
        <v>1180.8699999999999</v>
      </c>
      <c r="F22" s="20">
        <f>(D22-E22)/E22</f>
        <v>-0.48328774547579328</v>
      </c>
      <c r="G22" s="29">
        <v>115</v>
      </c>
      <c r="H22" s="21">
        <v>8</v>
      </c>
      <c r="I22" s="22">
        <f>G22/H22</f>
        <v>14.375</v>
      </c>
      <c r="J22" s="22">
        <v>2</v>
      </c>
      <c r="K22" s="21">
        <v>5</v>
      </c>
      <c r="L22" s="28">
        <v>31964.66</v>
      </c>
      <c r="M22" s="29">
        <v>6226</v>
      </c>
      <c r="N22" s="23">
        <v>45506</v>
      </c>
      <c r="O22" s="30" t="s">
        <v>61</v>
      </c>
      <c r="R22" s="17"/>
      <c r="S22" s="24"/>
    </row>
    <row r="23" spans="1:19" s="27" customFormat="1" ht="24.95" customHeight="1">
      <c r="A23" s="17">
        <v>21</v>
      </c>
      <c r="B23" s="17">
        <v>24</v>
      </c>
      <c r="C23" s="25" t="s">
        <v>174</v>
      </c>
      <c r="D23" s="19">
        <v>355.6</v>
      </c>
      <c r="E23" s="19">
        <v>425.5</v>
      </c>
      <c r="F23" s="20">
        <f>(D23-E23)/E23</f>
        <v>-0.16427732079905988</v>
      </c>
      <c r="G23" s="21">
        <v>60</v>
      </c>
      <c r="H23" s="21">
        <v>10</v>
      </c>
      <c r="I23" s="22">
        <f>G23/H23</f>
        <v>6</v>
      </c>
      <c r="J23" s="22">
        <v>3</v>
      </c>
      <c r="K23" s="21">
        <v>7</v>
      </c>
      <c r="L23" s="19">
        <v>6626.3</v>
      </c>
      <c r="M23" s="21">
        <v>1050</v>
      </c>
      <c r="N23" s="23">
        <v>45492</v>
      </c>
      <c r="O23" s="53" t="s">
        <v>116</v>
      </c>
      <c r="R23" s="17"/>
      <c r="S23" s="24"/>
    </row>
    <row r="24" spans="1:19" s="27" customFormat="1" ht="24.75" customHeight="1">
      <c r="A24" s="17">
        <v>22</v>
      </c>
      <c r="B24" s="17">
        <v>23</v>
      </c>
      <c r="C24" s="18" t="s">
        <v>188</v>
      </c>
      <c r="D24" s="19">
        <v>290</v>
      </c>
      <c r="E24" s="19">
        <v>442</v>
      </c>
      <c r="F24" s="20">
        <f>(D24-E24)/E24</f>
        <v>-0.34389140271493213</v>
      </c>
      <c r="G24" s="21">
        <v>57</v>
      </c>
      <c r="H24" s="20" t="s">
        <v>15</v>
      </c>
      <c r="I24" s="20" t="s">
        <v>15</v>
      </c>
      <c r="J24" s="17">
        <v>2</v>
      </c>
      <c r="K24" s="21">
        <v>6</v>
      </c>
      <c r="L24" s="19">
        <v>6937</v>
      </c>
      <c r="M24" s="21">
        <v>1144</v>
      </c>
      <c r="N24" s="23">
        <v>45499</v>
      </c>
      <c r="O24" s="30" t="s">
        <v>13</v>
      </c>
    </row>
    <row r="25" spans="1:19" s="27" customFormat="1" ht="24.75" customHeight="1">
      <c r="A25" s="17">
        <v>23</v>
      </c>
      <c r="B25" s="22" t="s">
        <v>17</v>
      </c>
      <c r="C25" s="25" t="s">
        <v>237</v>
      </c>
      <c r="D25" s="19">
        <v>273.19</v>
      </c>
      <c r="E25" s="20" t="s">
        <v>15</v>
      </c>
      <c r="F25" s="20" t="s">
        <v>15</v>
      </c>
      <c r="G25" s="21">
        <v>47</v>
      </c>
      <c r="H25" s="21">
        <v>32</v>
      </c>
      <c r="I25" s="22">
        <f>G25/H25</f>
        <v>1.46875</v>
      </c>
      <c r="J25" s="22">
        <v>5</v>
      </c>
      <c r="K25" s="22">
        <v>1</v>
      </c>
      <c r="L25" s="19">
        <v>273.19</v>
      </c>
      <c r="M25" s="21">
        <v>47</v>
      </c>
      <c r="N25" s="23">
        <v>45534</v>
      </c>
      <c r="O25" s="53" t="s">
        <v>95</v>
      </c>
    </row>
    <row r="26" spans="1:19" s="27" customFormat="1" ht="24.75" customHeight="1">
      <c r="A26" s="17">
        <v>24</v>
      </c>
      <c r="B26" s="19" t="s">
        <v>15</v>
      </c>
      <c r="C26" s="25" t="s">
        <v>86</v>
      </c>
      <c r="D26" s="19">
        <v>241.32</v>
      </c>
      <c r="E26" s="19" t="s">
        <v>15</v>
      </c>
      <c r="F26" s="20" t="s">
        <v>15</v>
      </c>
      <c r="G26" s="21">
        <v>48</v>
      </c>
      <c r="H26" s="21">
        <v>1</v>
      </c>
      <c r="I26" s="22">
        <f>G26/H26</f>
        <v>48</v>
      </c>
      <c r="J26" s="22">
        <v>1</v>
      </c>
      <c r="K26" s="22" t="s">
        <v>15</v>
      </c>
      <c r="L26" s="19">
        <v>362572.87</v>
      </c>
      <c r="M26" s="21">
        <v>51986</v>
      </c>
      <c r="N26" s="23">
        <v>45310</v>
      </c>
      <c r="O26" s="53" t="s">
        <v>18</v>
      </c>
    </row>
    <row r="27" spans="1:19" s="27" customFormat="1" ht="24.75" customHeight="1">
      <c r="A27" s="17">
        <v>25</v>
      </c>
      <c r="B27" s="17">
        <v>14</v>
      </c>
      <c r="C27" s="18" t="s">
        <v>224</v>
      </c>
      <c r="D27" s="28">
        <v>198.08</v>
      </c>
      <c r="E27" s="28">
        <v>5129</v>
      </c>
      <c r="F27" s="20">
        <f>(D27-E27)/E27</f>
        <v>-0.96138038604016374</v>
      </c>
      <c r="G27" s="29">
        <v>34</v>
      </c>
      <c r="H27" s="22" t="s">
        <v>15</v>
      </c>
      <c r="I27" s="22" t="s">
        <v>15</v>
      </c>
      <c r="J27" s="22">
        <v>1</v>
      </c>
      <c r="K27" s="21">
        <v>2</v>
      </c>
      <c r="L27" s="28">
        <v>5170.92</v>
      </c>
      <c r="M27" s="29">
        <v>895</v>
      </c>
      <c r="N27" s="23">
        <v>45527</v>
      </c>
      <c r="O27" s="30" t="s">
        <v>209</v>
      </c>
    </row>
    <row r="28" spans="1:19" s="24" customFormat="1" ht="24.95" customHeight="1">
      <c r="A28" s="17">
        <v>26</v>
      </c>
      <c r="B28" s="28" t="s">
        <v>15</v>
      </c>
      <c r="C28" s="18" t="s">
        <v>233</v>
      </c>
      <c r="D28" s="19">
        <v>164</v>
      </c>
      <c r="E28" s="28" t="s">
        <v>15</v>
      </c>
      <c r="F28" s="20" t="s">
        <v>15</v>
      </c>
      <c r="G28" s="21">
        <v>29</v>
      </c>
      <c r="H28" s="21">
        <v>2</v>
      </c>
      <c r="I28" s="22">
        <f>G28/H28</f>
        <v>14.5</v>
      </c>
      <c r="J28" s="22">
        <v>1</v>
      </c>
      <c r="K28" s="20" t="s">
        <v>15</v>
      </c>
      <c r="L28" s="19">
        <v>32490.899999999998</v>
      </c>
      <c r="M28" s="21">
        <v>5077</v>
      </c>
      <c r="N28" s="23">
        <v>45198</v>
      </c>
      <c r="O28" s="30" t="s">
        <v>14</v>
      </c>
      <c r="R28" s="17"/>
    </row>
    <row r="29" spans="1:19" s="24" customFormat="1" ht="24.95" customHeight="1">
      <c r="A29" s="17">
        <v>27</v>
      </c>
      <c r="B29" s="17">
        <v>32</v>
      </c>
      <c r="C29" s="18" t="s">
        <v>46</v>
      </c>
      <c r="D29" s="19">
        <v>144.80000000000001</v>
      </c>
      <c r="E29" s="19">
        <v>42.6</v>
      </c>
      <c r="F29" s="20">
        <f>(D29-E29)/E29</f>
        <v>2.39906103286385</v>
      </c>
      <c r="G29" s="21">
        <v>20</v>
      </c>
      <c r="H29" s="22">
        <v>3</v>
      </c>
      <c r="I29" s="22">
        <v>9</v>
      </c>
      <c r="J29" s="17">
        <v>1</v>
      </c>
      <c r="K29" s="21">
        <v>24</v>
      </c>
      <c r="L29" s="19">
        <v>68850.7</v>
      </c>
      <c r="M29" s="21">
        <v>10630</v>
      </c>
      <c r="N29" s="23">
        <v>45379</v>
      </c>
      <c r="O29" s="30" t="s">
        <v>25</v>
      </c>
      <c r="R29" s="17"/>
    </row>
    <row r="30" spans="1:19" s="24" customFormat="1" ht="24.95" customHeight="1">
      <c r="A30" s="17">
        <v>28</v>
      </c>
      <c r="B30" s="17">
        <v>25</v>
      </c>
      <c r="C30" s="18" t="s">
        <v>185</v>
      </c>
      <c r="D30" s="19">
        <v>102</v>
      </c>
      <c r="E30" s="19">
        <v>286</v>
      </c>
      <c r="F30" s="20">
        <f>(D30-E30)/E30</f>
        <v>-0.64335664335664333</v>
      </c>
      <c r="G30" s="21">
        <v>26</v>
      </c>
      <c r="H30" s="22">
        <v>7</v>
      </c>
      <c r="I30" s="22">
        <f>G30/H30</f>
        <v>3.7142857142857144</v>
      </c>
      <c r="J30" s="17">
        <v>3</v>
      </c>
      <c r="K30" s="21">
        <v>6</v>
      </c>
      <c r="L30" s="19">
        <v>38459.020000000004</v>
      </c>
      <c r="M30" s="21">
        <v>7702</v>
      </c>
      <c r="N30" s="23">
        <v>45499</v>
      </c>
      <c r="O30" s="30" t="s">
        <v>14</v>
      </c>
      <c r="R30" s="17"/>
    </row>
    <row r="31" spans="1:19" s="24" customFormat="1" ht="24.95" customHeight="1">
      <c r="A31" s="17">
        <v>29</v>
      </c>
      <c r="B31" s="22" t="s">
        <v>15</v>
      </c>
      <c r="C31" s="18" t="s">
        <v>104</v>
      </c>
      <c r="D31" s="19">
        <v>100</v>
      </c>
      <c r="E31" s="19" t="s">
        <v>15</v>
      </c>
      <c r="F31" s="9" t="s">
        <v>15</v>
      </c>
      <c r="G31" s="21">
        <v>29</v>
      </c>
      <c r="H31" s="21">
        <v>1</v>
      </c>
      <c r="I31" s="22">
        <f>G31/H31</f>
        <v>29</v>
      </c>
      <c r="J31" s="22">
        <v>1</v>
      </c>
      <c r="K31" s="19" t="s">
        <v>15</v>
      </c>
      <c r="L31" s="19">
        <v>138247.37</v>
      </c>
      <c r="M31" s="21">
        <v>26732</v>
      </c>
      <c r="N31" s="23">
        <v>45331</v>
      </c>
      <c r="O31" s="30" t="s">
        <v>11</v>
      </c>
      <c r="R31" s="17"/>
    </row>
    <row r="32" spans="1:19" s="24" customFormat="1" ht="24.95" customHeight="1">
      <c r="A32" s="17">
        <v>30</v>
      </c>
      <c r="B32" s="17">
        <v>33</v>
      </c>
      <c r="C32" s="18" t="s">
        <v>149</v>
      </c>
      <c r="D32" s="28">
        <v>78.2</v>
      </c>
      <c r="E32" s="28">
        <v>30.2</v>
      </c>
      <c r="F32" s="20">
        <f>(D32-E32)/E32</f>
        <v>1.5894039735099339</v>
      </c>
      <c r="G32" s="29">
        <v>10</v>
      </c>
      <c r="H32" s="21">
        <v>2</v>
      </c>
      <c r="I32" s="22">
        <f>G32/H32</f>
        <v>5</v>
      </c>
      <c r="J32" s="22">
        <v>2</v>
      </c>
      <c r="K32" s="20" t="s">
        <v>15</v>
      </c>
      <c r="L32" s="28">
        <v>216132.4</v>
      </c>
      <c r="M32" s="29">
        <v>33446</v>
      </c>
      <c r="N32" s="23">
        <v>45191</v>
      </c>
      <c r="O32" s="30" t="s">
        <v>25</v>
      </c>
      <c r="R32" s="17"/>
    </row>
    <row r="33" spans="1:18" s="24" customFormat="1" ht="24.95" customHeight="1">
      <c r="A33" s="17">
        <v>31</v>
      </c>
      <c r="B33" s="22" t="s">
        <v>15</v>
      </c>
      <c r="C33" s="18" t="s">
        <v>154</v>
      </c>
      <c r="D33" s="19">
        <v>69</v>
      </c>
      <c r="E33" s="19" t="s">
        <v>15</v>
      </c>
      <c r="F33" s="20" t="s">
        <v>15</v>
      </c>
      <c r="G33" s="21">
        <v>13</v>
      </c>
      <c r="H33" s="21">
        <v>2</v>
      </c>
      <c r="I33" s="22">
        <f>G33/H33</f>
        <v>6.5</v>
      </c>
      <c r="J33" s="22">
        <v>1</v>
      </c>
      <c r="K33" s="19" t="s">
        <v>15</v>
      </c>
      <c r="L33" s="19">
        <v>22270.720000000001</v>
      </c>
      <c r="M33" s="21">
        <v>3457</v>
      </c>
      <c r="N33" s="23">
        <v>45485</v>
      </c>
      <c r="O33" s="30" t="s">
        <v>63</v>
      </c>
      <c r="R33" s="17"/>
    </row>
    <row r="34" spans="1:18" s="24" customFormat="1" ht="24.95" customHeight="1">
      <c r="A34" s="17">
        <v>32</v>
      </c>
      <c r="B34" s="17">
        <v>22</v>
      </c>
      <c r="C34" s="25" t="s">
        <v>84</v>
      </c>
      <c r="D34" s="28">
        <v>66</v>
      </c>
      <c r="E34" s="28">
        <v>482.5</v>
      </c>
      <c r="F34" s="20">
        <f>(D34-E34)/E34</f>
        <v>-0.8632124352331606</v>
      </c>
      <c r="G34" s="29">
        <v>13</v>
      </c>
      <c r="H34" s="21">
        <v>2</v>
      </c>
      <c r="I34" s="22">
        <f>G34/H34</f>
        <v>6.5</v>
      </c>
      <c r="J34" s="22">
        <v>1</v>
      </c>
      <c r="K34" s="28" t="s">
        <v>15</v>
      </c>
      <c r="L34" s="28">
        <v>13523.749999999996</v>
      </c>
      <c r="M34" s="29">
        <v>2149</v>
      </c>
      <c r="N34" s="23">
        <v>45408</v>
      </c>
      <c r="O34" s="53" t="s">
        <v>82</v>
      </c>
      <c r="R34" s="17"/>
    </row>
    <row r="35" spans="1:18" s="24" customFormat="1" ht="24.95" customHeight="1">
      <c r="A35" s="17">
        <v>33</v>
      </c>
      <c r="B35" s="17">
        <v>34</v>
      </c>
      <c r="C35" s="18" t="s">
        <v>143</v>
      </c>
      <c r="D35" s="19">
        <v>60</v>
      </c>
      <c r="E35" s="19">
        <v>17</v>
      </c>
      <c r="F35" s="20">
        <f>(D35-E35)/E35</f>
        <v>2.5294117647058822</v>
      </c>
      <c r="G35" s="21">
        <v>8</v>
      </c>
      <c r="H35" s="20" t="s">
        <v>15</v>
      </c>
      <c r="I35" s="20" t="s">
        <v>15</v>
      </c>
      <c r="J35" s="22">
        <v>1</v>
      </c>
      <c r="K35" s="21">
        <v>10</v>
      </c>
      <c r="L35" s="19">
        <v>18629</v>
      </c>
      <c r="M35" s="21">
        <v>2947</v>
      </c>
      <c r="N35" s="23">
        <v>45471</v>
      </c>
      <c r="O35" s="30" t="s">
        <v>13</v>
      </c>
      <c r="R35" s="17"/>
    </row>
    <row r="36" spans="1:18" s="24" customFormat="1" ht="24.95" customHeight="1">
      <c r="A36" s="17">
        <v>34</v>
      </c>
      <c r="B36" s="17">
        <v>27</v>
      </c>
      <c r="C36" s="25" t="s">
        <v>176</v>
      </c>
      <c r="D36" s="19">
        <v>56</v>
      </c>
      <c r="E36" s="19">
        <v>91</v>
      </c>
      <c r="F36" s="20">
        <f>(D36-E36)/E36</f>
        <v>-0.38461538461538464</v>
      </c>
      <c r="G36" s="21">
        <v>11</v>
      </c>
      <c r="H36" s="20" t="s">
        <v>15</v>
      </c>
      <c r="I36" s="20" t="s">
        <v>15</v>
      </c>
      <c r="J36" s="22">
        <v>1</v>
      </c>
      <c r="K36" s="21">
        <v>7</v>
      </c>
      <c r="L36" s="19">
        <v>10865</v>
      </c>
      <c r="M36" s="21">
        <v>2349</v>
      </c>
      <c r="N36" s="23">
        <v>45492</v>
      </c>
      <c r="O36" s="53" t="s">
        <v>13</v>
      </c>
      <c r="R36" s="17"/>
    </row>
    <row r="37" spans="1:18" s="24" customFormat="1" ht="24.95" customHeight="1">
      <c r="A37" s="17">
        <v>35</v>
      </c>
      <c r="B37" s="17">
        <v>30</v>
      </c>
      <c r="C37" s="18" t="s">
        <v>60</v>
      </c>
      <c r="D37" s="28">
        <v>53</v>
      </c>
      <c r="E37" s="28">
        <v>57</v>
      </c>
      <c r="F37" s="20">
        <f>(D37-E37)/E37</f>
        <v>-7.0175438596491224E-2</v>
      </c>
      <c r="G37" s="29">
        <v>9</v>
      </c>
      <c r="H37" s="21">
        <v>1</v>
      </c>
      <c r="I37" s="22">
        <f>G37/H37</f>
        <v>9</v>
      </c>
      <c r="J37" s="22">
        <v>1</v>
      </c>
      <c r="K37" s="28" t="s">
        <v>15</v>
      </c>
      <c r="L37" s="28">
        <v>11743.2</v>
      </c>
      <c r="M37" s="29">
        <v>1820</v>
      </c>
      <c r="N37" s="23">
        <v>45345</v>
      </c>
      <c r="O37" s="30" t="s">
        <v>68</v>
      </c>
      <c r="R37" s="17"/>
    </row>
    <row r="38" spans="1:18" s="24" customFormat="1" ht="24.95" customHeight="1">
      <c r="A38" s="17">
        <v>36</v>
      </c>
      <c r="B38" s="17">
        <v>31</v>
      </c>
      <c r="C38" s="18" t="s">
        <v>120</v>
      </c>
      <c r="D38" s="19">
        <v>48</v>
      </c>
      <c r="E38" s="19">
        <v>46.2</v>
      </c>
      <c r="F38" s="20">
        <f>(D38-E38)/E38</f>
        <v>3.8961038961038898E-2</v>
      </c>
      <c r="G38" s="21">
        <v>22</v>
      </c>
      <c r="H38" s="21">
        <v>1</v>
      </c>
      <c r="I38" s="22">
        <f>G38/H38</f>
        <v>22</v>
      </c>
      <c r="J38" s="22">
        <v>1</v>
      </c>
      <c r="K38" s="21">
        <v>12</v>
      </c>
      <c r="L38" s="19">
        <v>22961.130000000008</v>
      </c>
      <c r="M38" s="21">
        <v>3670</v>
      </c>
      <c r="N38" s="23">
        <v>45464</v>
      </c>
      <c r="O38" s="30" t="s">
        <v>14</v>
      </c>
      <c r="R38" s="17"/>
    </row>
    <row r="39" spans="1:18" s="24" customFormat="1" ht="24.95" customHeight="1">
      <c r="A39" s="17">
        <v>37</v>
      </c>
      <c r="B39" s="22" t="s">
        <v>15</v>
      </c>
      <c r="C39" s="18" t="s">
        <v>148</v>
      </c>
      <c r="D39" s="28">
        <v>45</v>
      </c>
      <c r="E39" s="28" t="s">
        <v>15</v>
      </c>
      <c r="F39" s="20" t="s">
        <v>15</v>
      </c>
      <c r="G39" s="29">
        <v>9</v>
      </c>
      <c r="H39" s="21">
        <v>1</v>
      </c>
      <c r="I39" s="22">
        <f>G39/H39</f>
        <v>9</v>
      </c>
      <c r="J39" s="22">
        <v>1</v>
      </c>
      <c r="K39" s="21" t="s">
        <v>15</v>
      </c>
      <c r="L39" s="28">
        <v>5610.14</v>
      </c>
      <c r="M39" s="29">
        <v>962</v>
      </c>
      <c r="N39" s="23">
        <v>45471</v>
      </c>
      <c r="O39" s="30" t="s">
        <v>82</v>
      </c>
      <c r="R39" s="17"/>
    </row>
    <row r="40" spans="1:18" s="24" customFormat="1" ht="24.95" customHeight="1">
      <c r="A40" s="17">
        <v>38</v>
      </c>
      <c r="B40" s="22" t="s">
        <v>15</v>
      </c>
      <c r="C40" s="13" t="s">
        <v>225</v>
      </c>
      <c r="D40" s="8" t="s">
        <v>226</v>
      </c>
      <c r="E40" s="8">
        <v>6653</v>
      </c>
      <c r="F40" s="8" t="s">
        <v>226</v>
      </c>
      <c r="G40" s="8" t="s">
        <v>226</v>
      </c>
      <c r="H40" s="22" t="s">
        <v>15</v>
      </c>
      <c r="I40" s="22" t="s">
        <v>15</v>
      </c>
      <c r="J40" s="22" t="s">
        <v>15</v>
      </c>
      <c r="K40" s="11">
        <v>2</v>
      </c>
      <c r="L40" s="8" t="s">
        <v>226</v>
      </c>
      <c r="M40" s="8" t="s">
        <v>226</v>
      </c>
      <c r="N40" s="12">
        <v>45527</v>
      </c>
      <c r="O40" s="53" t="s">
        <v>227</v>
      </c>
      <c r="R40" s="17"/>
    </row>
    <row r="41" spans="1:18" ht="24.75" customHeight="1">
      <c r="A41" s="46"/>
      <c r="B41" s="57" t="s">
        <v>26</v>
      </c>
      <c r="C41" s="48" t="s">
        <v>139</v>
      </c>
      <c r="D41" s="49">
        <f>SUBTOTAL(109,Table13245678910111213141517[Pajamos 
(GBO)])</f>
        <v>252230.93000000002</v>
      </c>
      <c r="E41" s="49">
        <f>SUBTOTAL(109,Table132456789101112131415[Pajamos 
(GBO)])</f>
        <v>334056.35000000003</v>
      </c>
      <c r="F41" s="50">
        <f t="shared" ref="F41" si="1">(D41-E41)/E41</f>
        <v>-0.24494496212989217</v>
      </c>
      <c r="G41" s="52">
        <f>SUBTOTAL(109,Table13245678910111213141517[Žiūrovų sk. 
(ADM)])</f>
        <v>39882</v>
      </c>
      <c r="H41" s="57"/>
      <c r="I41" s="46"/>
      <c r="J41" s="46"/>
      <c r="K41" s="57"/>
      <c r="L41" s="54"/>
      <c r="M41" s="57"/>
      <c r="N41" s="46"/>
      <c r="O41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D4C6F-6520-4DFB-AB06-31A5E07A8447}">
  <sheetPr>
    <pageSetUpPr fitToPage="1"/>
  </sheetPr>
  <dimension ref="A1:XFC37"/>
  <sheetViews>
    <sheetView topLeftCell="A8" zoomScale="60" zoomScaleNormal="60" workbookViewId="0">
      <selection activeCell="B21" sqref="B21:O21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58" customWidth="1"/>
    <col min="12" max="12" width="20.7109375" style="43" customWidth="1"/>
    <col min="13" max="13" width="20.7109375" style="58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3" t="s">
        <v>220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17">
        <v>1</v>
      </c>
      <c r="C3" s="18" t="s">
        <v>191</v>
      </c>
      <c r="D3" s="19">
        <v>106740.03</v>
      </c>
      <c r="E3" s="19">
        <v>154844.9</v>
      </c>
      <c r="F3" s="20">
        <f>(D3-E3)/E3</f>
        <v>-0.31066486529423959</v>
      </c>
      <c r="G3" s="21">
        <v>15686</v>
      </c>
      <c r="H3" s="21">
        <v>387</v>
      </c>
      <c r="I3" s="22">
        <f t="shared" ref="I3:I10" si="0">G3/H3</f>
        <v>40.532299741602067</v>
      </c>
      <c r="J3" s="22">
        <v>19</v>
      </c>
      <c r="K3" s="21">
        <v>3</v>
      </c>
      <c r="L3" s="19">
        <v>645546.44999999995</v>
      </c>
      <c r="M3" s="21">
        <v>89779</v>
      </c>
      <c r="N3" s="23">
        <v>45513</v>
      </c>
      <c r="O3" s="30" t="s">
        <v>61</v>
      </c>
    </row>
    <row r="4" spans="1:18" s="24" customFormat="1" ht="24.95" customHeight="1">
      <c r="A4" s="17">
        <v>2</v>
      </c>
      <c r="B4" s="17">
        <v>2</v>
      </c>
      <c r="C4" s="18" t="s">
        <v>178</v>
      </c>
      <c r="D4" s="19">
        <v>39383.24</v>
      </c>
      <c r="E4" s="19">
        <v>63611.6</v>
      </c>
      <c r="F4" s="20">
        <f>(D4-E4)/E4</f>
        <v>-0.38087958799967303</v>
      </c>
      <c r="G4" s="21">
        <v>6126</v>
      </c>
      <c r="H4" s="21">
        <v>209</v>
      </c>
      <c r="I4" s="22">
        <f t="shared" si="0"/>
        <v>29.311004784688997</v>
      </c>
      <c r="J4" s="22">
        <v>11</v>
      </c>
      <c r="K4" s="21">
        <v>5</v>
      </c>
      <c r="L4" s="19">
        <v>688667.48</v>
      </c>
      <c r="M4" s="21">
        <v>88441</v>
      </c>
      <c r="N4" s="23">
        <v>45499</v>
      </c>
      <c r="O4" s="30" t="s">
        <v>18</v>
      </c>
    </row>
    <row r="5" spans="1:18" s="24" customFormat="1" ht="24.95" customHeight="1">
      <c r="A5" s="17">
        <v>3</v>
      </c>
      <c r="B5" s="17">
        <v>4</v>
      </c>
      <c r="C5" s="18" t="s">
        <v>146</v>
      </c>
      <c r="D5" s="19">
        <v>35161.370000000003</v>
      </c>
      <c r="E5" s="19">
        <v>48325.42</v>
      </c>
      <c r="F5" s="20">
        <f>(D5-E5)/E5</f>
        <v>-0.27240425432412169</v>
      </c>
      <c r="G5" s="21">
        <v>6689</v>
      </c>
      <c r="H5" s="21">
        <v>244</v>
      </c>
      <c r="I5" s="22">
        <f t="shared" si="0"/>
        <v>27.41393442622951</v>
      </c>
      <c r="J5" s="22">
        <v>17</v>
      </c>
      <c r="K5" s="21">
        <v>8</v>
      </c>
      <c r="L5" s="19">
        <v>1067304.54</v>
      </c>
      <c r="M5" s="21">
        <v>185058</v>
      </c>
      <c r="N5" s="23">
        <v>45478</v>
      </c>
      <c r="O5" s="30" t="s">
        <v>63</v>
      </c>
      <c r="R5" s="17"/>
    </row>
    <row r="6" spans="1:18" s="24" customFormat="1" ht="24.95" customHeight="1">
      <c r="A6" s="17">
        <v>4</v>
      </c>
      <c r="B6" s="17">
        <v>3</v>
      </c>
      <c r="C6" s="25" t="s">
        <v>203</v>
      </c>
      <c r="D6" s="19">
        <v>31828.16</v>
      </c>
      <c r="E6" s="19">
        <v>60445.11</v>
      </c>
      <c r="F6" s="20">
        <f>(D6-E6)/E6</f>
        <v>-0.47343697447154948</v>
      </c>
      <c r="G6" s="21">
        <v>4502</v>
      </c>
      <c r="H6" s="21">
        <v>184</v>
      </c>
      <c r="I6" s="22">
        <f t="shared" si="0"/>
        <v>24.467391304347824</v>
      </c>
      <c r="J6" s="22">
        <v>11</v>
      </c>
      <c r="K6" s="21">
        <v>2</v>
      </c>
      <c r="L6" s="19">
        <v>98937.47</v>
      </c>
      <c r="M6" s="21">
        <v>13862</v>
      </c>
      <c r="N6" s="23">
        <v>45520</v>
      </c>
      <c r="O6" s="53" t="s">
        <v>18</v>
      </c>
      <c r="R6" s="17"/>
    </row>
    <row r="7" spans="1:18" s="24" customFormat="1" ht="24.95" customHeight="1">
      <c r="A7" s="17">
        <v>5</v>
      </c>
      <c r="B7" s="17" t="s">
        <v>17</v>
      </c>
      <c r="C7" s="18" t="s">
        <v>206</v>
      </c>
      <c r="D7" s="28">
        <v>25171.34</v>
      </c>
      <c r="E7" s="20" t="s">
        <v>15</v>
      </c>
      <c r="F7" s="20" t="s">
        <v>15</v>
      </c>
      <c r="G7" s="29">
        <v>4275</v>
      </c>
      <c r="H7" s="21">
        <v>192</v>
      </c>
      <c r="I7" s="22">
        <f t="shared" si="0"/>
        <v>22.265625</v>
      </c>
      <c r="J7" s="22">
        <v>17</v>
      </c>
      <c r="K7" s="21">
        <v>1</v>
      </c>
      <c r="L7" s="28">
        <v>27923.79</v>
      </c>
      <c r="M7" s="29">
        <v>4683</v>
      </c>
      <c r="N7" s="23">
        <v>45527</v>
      </c>
      <c r="O7" s="30" t="s">
        <v>12</v>
      </c>
      <c r="R7" s="17"/>
    </row>
    <row r="8" spans="1:18" s="24" customFormat="1" ht="24.95" customHeight="1">
      <c r="A8" s="17">
        <v>6</v>
      </c>
      <c r="B8" s="17">
        <v>5</v>
      </c>
      <c r="C8" s="25" t="s">
        <v>106</v>
      </c>
      <c r="D8" s="19">
        <v>20676.48</v>
      </c>
      <c r="E8" s="19">
        <v>26819.29</v>
      </c>
      <c r="F8" s="20">
        <f>(D8-E8)/E8</f>
        <v>-0.22904446762013464</v>
      </c>
      <c r="G8" s="21">
        <v>4065</v>
      </c>
      <c r="H8" s="21">
        <v>164</v>
      </c>
      <c r="I8" s="22">
        <f t="shared" si="0"/>
        <v>24.786585365853657</v>
      </c>
      <c r="J8" s="22">
        <v>15</v>
      </c>
      <c r="K8" s="21">
        <v>11</v>
      </c>
      <c r="L8" s="19">
        <v>1247898.43</v>
      </c>
      <c r="M8" s="21">
        <v>215512</v>
      </c>
      <c r="N8" s="23">
        <v>45457</v>
      </c>
      <c r="O8" s="30" t="s">
        <v>18</v>
      </c>
      <c r="R8" s="17"/>
    </row>
    <row r="9" spans="1:18" s="24" customFormat="1" ht="24.95" customHeight="1">
      <c r="A9" s="17">
        <v>7</v>
      </c>
      <c r="B9" s="17" t="s">
        <v>17</v>
      </c>
      <c r="C9" s="18" t="s">
        <v>207</v>
      </c>
      <c r="D9" s="28">
        <v>17822.560000000001</v>
      </c>
      <c r="E9" s="20" t="s">
        <v>15</v>
      </c>
      <c r="F9" s="20" t="s">
        <v>15</v>
      </c>
      <c r="G9" s="29">
        <v>2481</v>
      </c>
      <c r="H9" s="21">
        <v>154</v>
      </c>
      <c r="I9" s="22">
        <f t="shared" si="0"/>
        <v>16.11038961038961</v>
      </c>
      <c r="J9" s="22">
        <v>14</v>
      </c>
      <c r="K9" s="21">
        <v>1</v>
      </c>
      <c r="L9" s="28">
        <v>20266.78</v>
      </c>
      <c r="M9" s="29">
        <v>2831</v>
      </c>
      <c r="N9" s="23">
        <v>45527</v>
      </c>
      <c r="O9" s="30" t="s">
        <v>11</v>
      </c>
      <c r="R9" s="17"/>
    </row>
    <row r="10" spans="1:18" s="24" customFormat="1" ht="24.95" customHeight="1">
      <c r="A10" s="17">
        <v>8</v>
      </c>
      <c r="B10" s="17">
        <v>6</v>
      </c>
      <c r="C10" s="18" t="s">
        <v>193</v>
      </c>
      <c r="D10" s="19">
        <v>10211.870000000001</v>
      </c>
      <c r="E10" s="19">
        <v>16117.18</v>
      </c>
      <c r="F10" s="20">
        <f>(D10-E10)/E10</f>
        <v>-0.36639846424746758</v>
      </c>
      <c r="G10" s="21">
        <v>2121</v>
      </c>
      <c r="H10" s="21">
        <v>113</v>
      </c>
      <c r="I10" s="22">
        <f t="shared" si="0"/>
        <v>18.76991150442478</v>
      </c>
      <c r="J10" s="22">
        <v>14</v>
      </c>
      <c r="K10" s="21">
        <v>3</v>
      </c>
      <c r="L10" s="19">
        <v>59128.14</v>
      </c>
      <c r="M10" s="21">
        <v>11653</v>
      </c>
      <c r="N10" s="23">
        <v>45513</v>
      </c>
      <c r="O10" s="30" t="s">
        <v>11</v>
      </c>
      <c r="R10" s="17"/>
    </row>
    <row r="11" spans="1:18" s="24" customFormat="1" ht="24.75" customHeight="1">
      <c r="A11" s="17">
        <v>9</v>
      </c>
      <c r="B11" s="22" t="s">
        <v>17</v>
      </c>
      <c r="C11" s="18" t="s">
        <v>223</v>
      </c>
      <c r="D11" s="19">
        <v>9349</v>
      </c>
      <c r="E11" s="20" t="s">
        <v>15</v>
      </c>
      <c r="F11" s="20" t="s">
        <v>15</v>
      </c>
      <c r="G11" s="21">
        <v>1981</v>
      </c>
      <c r="H11" s="22" t="s">
        <v>15</v>
      </c>
      <c r="I11" s="22" t="s">
        <v>15</v>
      </c>
      <c r="J11" s="17">
        <v>16</v>
      </c>
      <c r="K11" s="22">
        <v>1</v>
      </c>
      <c r="L11" s="19">
        <v>9349</v>
      </c>
      <c r="M11" s="21">
        <v>1981</v>
      </c>
      <c r="N11" s="23">
        <v>45527</v>
      </c>
      <c r="O11" s="30" t="s">
        <v>13</v>
      </c>
      <c r="R11" s="17"/>
    </row>
    <row r="12" spans="1:18" s="24" customFormat="1" ht="24.95" customHeight="1">
      <c r="A12" s="17">
        <v>10</v>
      </c>
      <c r="B12" s="22" t="s">
        <v>17</v>
      </c>
      <c r="C12" s="13" t="s">
        <v>225</v>
      </c>
      <c r="D12" s="8">
        <v>6653</v>
      </c>
      <c r="E12" s="28" t="s">
        <v>15</v>
      </c>
      <c r="F12" s="20" t="s">
        <v>15</v>
      </c>
      <c r="G12" s="8">
        <v>1733</v>
      </c>
      <c r="H12" s="20" t="s">
        <v>15</v>
      </c>
      <c r="I12" s="20" t="s">
        <v>15</v>
      </c>
      <c r="J12" s="20" t="s">
        <v>15</v>
      </c>
      <c r="K12" s="11">
        <v>1</v>
      </c>
      <c r="L12" s="8">
        <v>6653</v>
      </c>
      <c r="M12" s="8">
        <v>1733</v>
      </c>
      <c r="N12" s="12">
        <v>45527</v>
      </c>
      <c r="O12" s="53" t="s">
        <v>227</v>
      </c>
      <c r="R12" s="17"/>
    </row>
    <row r="13" spans="1:18" s="24" customFormat="1" ht="24.95" customHeight="1">
      <c r="A13" s="17">
        <v>11</v>
      </c>
      <c r="B13" s="17">
        <v>7</v>
      </c>
      <c r="C13" s="18" t="s">
        <v>208</v>
      </c>
      <c r="D13" s="28">
        <v>6001.55</v>
      </c>
      <c r="E13" s="28">
        <v>13364</v>
      </c>
      <c r="F13" s="20">
        <f>(D13-E13)/E13</f>
        <v>-0.55091664172403476</v>
      </c>
      <c r="G13" s="29">
        <v>1253</v>
      </c>
      <c r="H13" s="22" t="s">
        <v>15</v>
      </c>
      <c r="I13" s="22" t="s">
        <v>15</v>
      </c>
      <c r="J13" s="22">
        <v>11</v>
      </c>
      <c r="K13" s="21">
        <v>2</v>
      </c>
      <c r="L13" s="28">
        <v>19366</v>
      </c>
      <c r="M13" s="29">
        <v>3948</v>
      </c>
      <c r="N13" s="23">
        <v>45520</v>
      </c>
      <c r="O13" s="30" t="s">
        <v>209</v>
      </c>
      <c r="R13" s="17"/>
    </row>
    <row r="14" spans="1:18" s="24" customFormat="1" ht="24.95" customHeight="1">
      <c r="A14" s="17">
        <v>12</v>
      </c>
      <c r="B14" s="17">
        <v>8</v>
      </c>
      <c r="C14" s="18" t="s">
        <v>184</v>
      </c>
      <c r="D14" s="19">
        <v>5588.78</v>
      </c>
      <c r="E14" s="19">
        <v>10267.370000000001</v>
      </c>
      <c r="F14" s="20">
        <f>(D14-E14)/E14</f>
        <v>-0.45567560144418684</v>
      </c>
      <c r="G14" s="21">
        <v>926</v>
      </c>
      <c r="H14" s="22" t="s">
        <v>15</v>
      </c>
      <c r="I14" s="22" t="s">
        <v>15</v>
      </c>
      <c r="J14" s="22">
        <v>10</v>
      </c>
      <c r="K14" s="21">
        <v>4</v>
      </c>
      <c r="L14" s="19">
        <v>71873.899999999994</v>
      </c>
      <c r="M14" s="21">
        <v>10613</v>
      </c>
      <c r="N14" s="23">
        <v>45506</v>
      </c>
      <c r="O14" s="30" t="s">
        <v>65</v>
      </c>
      <c r="R14" s="17"/>
    </row>
    <row r="15" spans="1:18" s="24" customFormat="1" ht="24.95" customHeight="1">
      <c r="A15" s="17">
        <v>13</v>
      </c>
      <c r="B15" s="17">
        <v>10</v>
      </c>
      <c r="C15" s="18" t="s">
        <v>165</v>
      </c>
      <c r="D15" s="19">
        <v>5369.71</v>
      </c>
      <c r="E15" s="19">
        <v>8345.07</v>
      </c>
      <c r="F15" s="20">
        <f>(D15-E15)/E15</f>
        <v>-0.35654104758857624</v>
      </c>
      <c r="G15" s="21">
        <v>919</v>
      </c>
      <c r="H15" s="21">
        <v>32</v>
      </c>
      <c r="I15" s="22">
        <f>G15/H15</f>
        <v>28.71875</v>
      </c>
      <c r="J15" s="22">
        <v>6</v>
      </c>
      <c r="K15" s="21">
        <v>6</v>
      </c>
      <c r="L15" s="19">
        <v>158068.24</v>
      </c>
      <c r="M15" s="21">
        <v>23114</v>
      </c>
      <c r="N15" s="23">
        <v>45492</v>
      </c>
      <c r="O15" s="30" t="s">
        <v>66</v>
      </c>
      <c r="R15" s="17"/>
    </row>
    <row r="16" spans="1:18" s="24" customFormat="1" ht="24.95" customHeight="1">
      <c r="A16" s="17">
        <v>14</v>
      </c>
      <c r="B16" s="22" t="s">
        <v>17</v>
      </c>
      <c r="C16" s="18" t="s">
        <v>224</v>
      </c>
      <c r="D16" s="28">
        <v>5129</v>
      </c>
      <c r="E16" s="28" t="s">
        <v>15</v>
      </c>
      <c r="F16" s="20" t="s">
        <v>15</v>
      </c>
      <c r="G16" s="29">
        <v>880</v>
      </c>
      <c r="H16" s="21" t="s">
        <v>15</v>
      </c>
      <c r="I16" s="22" t="s">
        <v>15</v>
      </c>
      <c r="J16" s="22">
        <v>12</v>
      </c>
      <c r="K16" s="21">
        <v>1</v>
      </c>
      <c r="L16" s="28">
        <v>5129</v>
      </c>
      <c r="M16" s="29">
        <v>880</v>
      </c>
      <c r="N16" s="23">
        <v>45527</v>
      </c>
      <c r="O16" s="30" t="s">
        <v>209</v>
      </c>
      <c r="R16" s="17"/>
    </row>
    <row r="17" spans="1:19" s="24" customFormat="1" ht="24.95" customHeight="1">
      <c r="A17" s="17">
        <v>15</v>
      </c>
      <c r="B17" s="22" t="s">
        <v>23</v>
      </c>
      <c r="C17" s="18" t="s">
        <v>221</v>
      </c>
      <c r="D17" s="28">
        <v>1500.95</v>
      </c>
      <c r="E17" s="28" t="s">
        <v>15</v>
      </c>
      <c r="F17" s="20" t="s">
        <v>15</v>
      </c>
      <c r="G17" s="29">
        <v>286</v>
      </c>
      <c r="H17" s="21">
        <v>13</v>
      </c>
      <c r="I17" s="22">
        <f t="shared" ref="I17:I23" si="1">G17/H17</f>
        <v>22</v>
      </c>
      <c r="J17" s="22">
        <v>15</v>
      </c>
      <c r="K17" s="21">
        <v>0</v>
      </c>
      <c r="L17" s="28">
        <v>1500.95</v>
      </c>
      <c r="M17" s="29">
        <v>286</v>
      </c>
      <c r="N17" s="23" t="s">
        <v>24</v>
      </c>
      <c r="O17" s="30" t="s">
        <v>66</v>
      </c>
      <c r="R17" s="17"/>
    </row>
    <row r="18" spans="1:19" s="24" customFormat="1" ht="24.95" customHeight="1">
      <c r="A18" s="17">
        <v>16</v>
      </c>
      <c r="B18" s="17">
        <v>9</v>
      </c>
      <c r="C18" s="18" t="s">
        <v>192</v>
      </c>
      <c r="D18" s="19">
        <v>1443.81</v>
      </c>
      <c r="E18" s="19">
        <v>8472.16</v>
      </c>
      <c r="F18" s="20">
        <f>(D18-E18)/E18</f>
        <v>-0.82958183037147559</v>
      </c>
      <c r="G18" s="21">
        <v>290</v>
      </c>
      <c r="H18" s="21">
        <v>18</v>
      </c>
      <c r="I18" s="22">
        <f t="shared" si="1"/>
        <v>16.111111111111111</v>
      </c>
      <c r="J18" s="22">
        <v>4</v>
      </c>
      <c r="K18" s="21">
        <v>3</v>
      </c>
      <c r="L18" s="19">
        <v>36247.69</v>
      </c>
      <c r="M18" s="21">
        <v>5717</v>
      </c>
      <c r="N18" s="23">
        <v>45513</v>
      </c>
      <c r="O18" s="30" t="s">
        <v>11</v>
      </c>
      <c r="R18" s="17"/>
    </row>
    <row r="19" spans="1:19" s="24" customFormat="1" ht="24.95" customHeight="1">
      <c r="A19" s="17">
        <v>17</v>
      </c>
      <c r="B19" s="17">
        <v>12</v>
      </c>
      <c r="C19" s="18" t="s">
        <v>186</v>
      </c>
      <c r="D19" s="28">
        <v>1180.8699999999999</v>
      </c>
      <c r="E19" s="28">
        <v>2625.55</v>
      </c>
      <c r="F19" s="20">
        <f>(D19-E19)/E19</f>
        <v>-0.55023899754337191</v>
      </c>
      <c r="G19" s="29">
        <v>253</v>
      </c>
      <c r="H19" s="21">
        <v>9</v>
      </c>
      <c r="I19" s="22">
        <f t="shared" si="1"/>
        <v>28.111111111111111</v>
      </c>
      <c r="J19" s="22">
        <v>2</v>
      </c>
      <c r="K19" s="21">
        <v>4</v>
      </c>
      <c r="L19" s="28">
        <v>31354.49</v>
      </c>
      <c r="M19" s="29">
        <v>6111</v>
      </c>
      <c r="N19" s="23">
        <v>45506</v>
      </c>
      <c r="O19" s="30" t="s">
        <v>61</v>
      </c>
      <c r="R19" s="17"/>
    </row>
    <row r="20" spans="1:19" s="24" customFormat="1" ht="24.95" customHeight="1">
      <c r="A20" s="17">
        <v>18</v>
      </c>
      <c r="B20" s="17">
        <v>16</v>
      </c>
      <c r="C20" s="18" t="s">
        <v>147</v>
      </c>
      <c r="D20" s="19">
        <v>926.4</v>
      </c>
      <c r="E20" s="19">
        <v>1255.08</v>
      </c>
      <c r="F20" s="20">
        <f>(D20-E20)/E20</f>
        <v>-0.26187972081460942</v>
      </c>
      <c r="G20" s="21">
        <v>133</v>
      </c>
      <c r="H20" s="21">
        <v>7</v>
      </c>
      <c r="I20" s="22">
        <f t="shared" si="1"/>
        <v>19</v>
      </c>
      <c r="J20" s="22">
        <v>2</v>
      </c>
      <c r="K20" s="21">
        <v>8</v>
      </c>
      <c r="L20" s="19">
        <v>51012.79</v>
      </c>
      <c r="M20" s="21">
        <v>7678</v>
      </c>
      <c r="N20" s="23">
        <v>45478</v>
      </c>
      <c r="O20" s="30" t="s">
        <v>18</v>
      </c>
      <c r="R20" s="17"/>
    </row>
    <row r="21" spans="1:19" s="68" customFormat="1" ht="24.95" customHeight="1">
      <c r="A21" s="17">
        <v>19</v>
      </c>
      <c r="B21" s="28" t="s">
        <v>15</v>
      </c>
      <c r="C21" s="18" t="s">
        <v>169</v>
      </c>
      <c r="D21" s="28">
        <v>585.5</v>
      </c>
      <c r="E21" s="28" t="s">
        <v>15</v>
      </c>
      <c r="F21" s="20" t="s">
        <v>15</v>
      </c>
      <c r="G21" s="29">
        <v>233</v>
      </c>
      <c r="H21" s="21">
        <v>28</v>
      </c>
      <c r="I21" s="22">
        <f t="shared" si="1"/>
        <v>8.3214285714285712</v>
      </c>
      <c r="J21" s="22">
        <v>4</v>
      </c>
      <c r="K21" s="21" t="s">
        <v>15</v>
      </c>
      <c r="L21" s="28">
        <v>1345409.14</v>
      </c>
      <c r="M21" s="29">
        <v>250604</v>
      </c>
      <c r="N21" s="23">
        <v>44743</v>
      </c>
      <c r="O21" s="30" t="s">
        <v>63</v>
      </c>
      <c r="R21" s="67"/>
    </row>
    <row r="22" spans="1:19" s="24" customFormat="1" ht="24.75" customHeight="1">
      <c r="A22" s="17">
        <v>20</v>
      </c>
      <c r="B22" s="22" t="s">
        <v>23</v>
      </c>
      <c r="C22" s="18" t="s">
        <v>222</v>
      </c>
      <c r="D22" s="28">
        <v>567.23</v>
      </c>
      <c r="E22" s="28" t="s">
        <v>15</v>
      </c>
      <c r="F22" s="20" t="s">
        <v>15</v>
      </c>
      <c r="G22" s="29">
        <v>80</v>
      </c>
      <c r="H22" s="21">
        <v>6</v>
      </c>
      <c r="I22" s="22">
        <f t="shared" si="1"/>
        <v>13.333333333333334</v>
      </c>
      <c r="J22" s="22">
        <v>6</v>
      </c>
      <c r="K22" s="21">
        <v>0</v>
      </c>
      <c r="L22" s="28">
        <v>1161.6300000000001</v>
      </c>
      <c r="M22" s="29">
        <v>163</v>
      </c>
      <c r="N22" s="23" t="s">
        <v>24</v>
      </c>
      <c r="O22" s="30" t="s">
        <v>66</v>
      </c>
      <c r="R22" s="17"/>
    </row>
    <row r="23" spans="1:19" s="27" customFormat="1" ht="24.75" customHeight="1">
      <c r="A23" s="17">
        <v>21</v>
      </c>
      <c r="B23" s="28" t="s">
        <v>15</v>
      </c>
      <c r="C23" s="18" t="s">
        <v>170</v>
      </c>
      <c r="D23" s="28">
        <v>534.5</v>
      </c>
      <c r="E23" s="28" t="s">
        <v>15</v>
      </c>
      <c r="F23" s="20" t="s">
        <v>15</v>
      </c>
      <c r="G23" s="29">
        <v>218</v>
      </c>
      <c r="H23" s="21">
        <v>28</v>
      </c>
      <c r="I23" s="22">
        <f t="shared" si="1"/>
        <v>7.7857142857142856</v>
      </c>
      <c r="J23" s="22">
        <v>4</v>
      </c>
      <c r="K23" s="21" t="s">
        <v>15</v>
      </c>
      <c r="L23" s="28">
        <v>1056149.43</v>
      </c>
      <c r="M23" s="29">
        <v>197363</v>
      </c>
      <c r="N23" s="23">
        <v>44916</v>
      </c>
      <c r="O23" s="30" t="s">
        <v>63</v>
      </c>
      <c r="R23" s="17"/>
      <c r="S23" s="24"/>
    </row>
    <row r="24" spans="1:19" s="27" customFormat="1" ht="24.95" customHeight="1">
      <c r="A24" s="17">
        <v>22</v>
      </c>
      <c r="B24" s="17">
        <v>26</v>
      </c>
      <c r="C24" s="25" t="s">
        <v>84</v>
      </c>
      <c r="D24" s="28">
        <v>482.5</v>
      </c>
      <c r="E24" s="28">
        <v>429.19999999999959</v>
      </c>
      <c r="F24" s="20">
        <v>-0.42480790340285396</v>
      </c>
      <c r="G24" s="29">
        <v>76</v>
      </c>
      <c r="H24" s="21">
        <v>8</v>
      </c>
      <c r="I24" s="22">
        <v>6</v>
      </c>
      <c r="J24" s="22">
        <v>3</v>
      </c>
      <c r="K24" s="28" t="s">
        <v>15</v>
      </c>
      <c r="L24" s="28">
        <v>13457.749999999996</v>
      </c>
      <c r="M24" s="29">
        <v>2136</v>
      </c>
      <c r="N24" s="23">
        <v>45408</v>
      </c>
      <c r="O24" s="53" t="s">
        <v>82</v>
      </c>
      <c r="R24" s="17"/>
      <c r="S24" s="24"/>
    </row>
    <row r="25" spans="1:19" s="27" customFormat="1" ht="24.75" customHeight="1">
      <c r="A25" s="17">
        <v>23</v>
      </c>
      <c r="B25" s="17">
        <v>24</v>
      </c>
      <c r="C25" s="18" t="s">
        <v>188</v>
      </c>
      <c r="D25" s="19">
        <v>442</v>
      </c>
      <c r="E25" s="19">
        <v>468</v>
      </c>
      <c r="F25" s="20">
        <f t="shared" ref="F25:F30" si="2">(D25-E25)/E25</f>
        <v>-5.5555555555555552E-2</v>
      </c>
      <c r="G25" s="21">
        <v>42</v>
      </c>
      <c r="H25" s="20" t="s">
        <v>15</v>
      </c>
      <c r="I25" s="20" t="s">
        <v>15</v>
      </c>
      <c r="J25" s="17">
        <v>3</v>
      </c>
      <c r="K25" s="21">
        <v>5</v>
      </c>
      <c r="L25" s="19">
        <v>6647</v>
      </c>
      <c r="M25" s="21">
        <v>1087</v>
      </c>
      <c r="N25" s="23">
        <v>45499</v>
      </c>
      <c r="O25" s="30" t="s">
        <v>13</v>
      </c>
    </row>
    <row r="26" spans="1:19" s="27" customFormat="1" ht="24.75" customHeight="1">
      <c r="A26" s="17">
        <v>24</v>
      </c>
      <c r="B26" s="17">
        <v>23</v>
      </c>
      <c r="C26" s="25" t="s">
        <v>174</v>
      </c>
      <c r="D26" s="19">
        <v>425.5</v>
      </c>
      <c r="E26" s="19">
        <v>507</v>
      </c>
      <c r="F26" s="20">
        <f t="shared" si="2"/>
        <v>-0.16074950690335305</v>
      </c>
      <c r="G26" s="21">
        <v>66</v>
      </c>
      <c r="H26" s="21">
        <v>13</v>
      </c>
      <c r="I26" s="22">
        <f>G26/H26</f>
        <v>5.0769230769230766</v>
      </c>
      <c r="J26" s="22">
        <v>3</v>
      </c>
      <c r="K26" s="21">
        <v>6</v>
      </c>
      <c r="L26" s="19">
        <v>6270.7</v>
      </c>
      <c r="M26" s="21">
        <v>990</v>
      </c>
      <c r="N26" s="23">
        <v>45492</v>
      </c>
      <c r="O26" s="53" t="s">
        <v>116</v>
      </c>
    </row>
    <row r="27" spans="1:19" s="27" customFormat="1" ht="24.75" customHeight="1">
      <c r="A27" s="17">
        <v>25</v>
      </c>
      <c r="B27" s="17">
        <v>17</v>
      </c>
      <c r="C27" s="18" t="s">
        <v>185</v>
      </c>
      <c r="D27" s="19">
        <v>286</v>
      </c>
      <c r="E27" s="19">
        <v>967.5</v>
      </c>
      <c r="F27" s="20">
        <f t="shared" si="2"/>
        <v>-0.70439276485788116</v>
      </c>
      <c r="G27" s="21">
        <v>65</v>
      </c>
      <c r="H27" s="22">
        <v>10</v>
      </c>
      <c r="I27" s="22">
        <f>G27/H27</f>
        <v>6.5</v>
      </c>
      <c r="J27" s="17">
        <v>3</v>
      </c>
      <c r="K27" s="21">
        <v>5</v>
      </c>
      <c r="L27" s="19">
        <v>38357.020000000004</v>
      </c>
      <c r="M27" s="21">
        <v>7676</v>
      </c>
      <c r="N27" s="23">
        <v>45499</v>
      </c>
      <c r="O27" s="30" t="s">
        <v>14</v>
      </c>
    </row>
    <row r="28" spans="1:19" s="27" customFormat="1" ht="24.75" customHeight="1">
      <c r="A28" s="17">
        <v>26</v>
      </c>
      <c r="B28" s="17">
        <v>36</v>
      </c>
      <c r="C28" s="18" t="s">
        <v>38</v>
      </c>
      <c r="D28" s="28">
        <v>158</v>
      </c>
      <c r="E28" s="28">
        <v>56</v>
      </c>
      <c r="F28" s="20">
        <f t="shared" si="2"/>
        <v>1.8214285714285714</v>
      </c>
      <c r="G28" s="29">
        <v>29</v>
      </c>
      <c r="H28" s="21">
        <v>1</v>
      </c>
      <c r="I28" s="22">
        <f>G28/H28</f>
        <v>29</v>
      </c>
      <c r="J28" s="22">
        <v>1</v>
      </c>
      <c r="K28" s="22" t="s">
        <v>15</v>
      </c>
      <c r="L28" s="28">
        <v>6030.11</v>
      </c>
      <c r="M28" s="29">
        <v>1013</v>
      </c>
      <c r="N28" s="23">
        <v>45443</v>
      </c>
      <c r="O28" s="30" t="s">
        <v>64</v>
      </c>
    </row>
    <row r="29" spans="1:19" s="24" customFormat="1" ht="24.95" customHeight="1">
      <c r="A29" s="17">
        <v>27</v>
      </c>
      <c r="B29" s="17">
        <v>39</v>
      </c>
      <c r="C29" s="25" t="s">
        <v>176</v>
      </c>
      <c r="D29" s="19">
        <v>91</v>
      </c>
      <c r="E29" s="19">
        <v>37</v>
      </c>
      <c r="F29" s="20">
        <f t="shared" si="2"/>
        <v>1.4594594594594594</v>
      </c>
      <c r="G29" s="21">
        <v>23</v>
      </c>
      <c r="H29" s="20" t="s">
        <v>15</v>
      </c>
      <c r="I29" s="20" t="s">
        <v>15</v>
      </c>
      <c r="J29" s="22">
        <v>2</v>
      </c>
      <c r="K29" s="21">
        <v>6</v>
      </c>
      <c r="L29" s="19">
        <v>10809</v>
      </c>
      <c r="M29" s="21">
        <v>2338</v>
      </c>
      <c r="N29" s="23">
        <v>45492</v>
      </c>
      <c r="O29" s="53" t="s">
        <v>13</v>
      </c>
      <c r="R29" s="17"/>
    </row>
    <row r="30" spans="1:19" s="24" customFormat="1" ht="24.95" customHeight="1">
      <c r="A30" s="17">
        <v>28</v>
      </c>
      <c r="B30" s="17">
        <v>21</v>
      </c>
      <c r="C30" s="18" t="s">
        <v>195</v>
      </c>
      <c r="D30" s="19">
        <v>77</v>
      </c>
      <c r="E30" s="19">
        <v>556.46</v>
      </c>
      <c r="F30" s="20">
        <f t="shared" si="2"/>
        <v>-0.86162527405384037</v>
      </c>
      <c r="G30" s="21">
        <v>15</v>
      </c>
      <c r="H30" s="22">
        <v>2</v>
      </c>
      <c r="I30" s="22">
        <f>G30/H30</f>
        <v>7.5</v>
      </c>
      <c r="J30" s="17">
        <v>1</v>
      </c>
      <c r="K30" s="21">
        <v>4</v>
      </c>
      <c r="L30" s="19">
        <v>9351.16</v>
      </c>
      <c r="M30" s="21">
        <v>1443</v>
      </c>
      <c r="N30" s="23">
        <v>45506</v>
      </c>
      <c r="O30" s="30" t="s">
        <v>63</v>
      </c>
      <c r="R30" s="17"/>
    </row>
    <row r="31" spans="1:19" s="24" customFormat="1" ht="24.95" customHeight="1">
      <c r="A31" s="17">
        <v>29</v>
      </c>
      <c r="B31" s="17" t="s">
        <v>15</v>
      </c>
      <c r="C31" s="25" t="s">
        <v>44</v>
      </c>
      <c r="D31" s="19">
        <v>76</v>
      </c>
      <c r="E31" s="19" t="s">
        <v>15</v>
      </c>
      <c r="F31" s="20" t="s">
        <v>15</v>
      </c>
      <c r="G31" s="21">
        <v>16</v>
      </c>
      <c r="H31" s="21">
        <v>1</v>
      </c>
      <c r="I31" s="22">
        <v>16</v>
      </c>
      <c r="J31" s="22">
        <v>1</v>
      </c>
      <c r="K31" s="21" t="s">
        <v>15</v>
      </c>
      <c r="L31" s="19">
        <v>60360.28</v>
      </c>
      <c r="M31" s="21">
        <v>9523</v>
      </c>
      <c r="N31" s="23">
        <v>45379</v>
      </c>
      <c r="O31" s="53" t="s">
        <v>25</v>
      </c>
      <c r="R31" s="17"/>
    </row>
    <row r="32" spans="1:19" s="24" customFormat="1" ht="24.95" customHeight="1">
      <c r="A32" s="17">
        <v>30</v>
      </c>
      <c r="B32" s="21" t="s">
        <v>15</v>
      </c>
      <c r="C32" s="18" t="s">
        <v>60</v>
      </c>
      <c r="D32" s="28">
        <v>57</v>
      </c>
      <c r="E32" s="28" t="s">
        <v>15</v>
      </c>
      <c r="F32" s="20" t="s">
        <v>15</v>
      </c>
      <c r="G32" s="29">
        <v>9</v>
      </c>
      <c r="H32" s="21">
        <v>1</v>
      </c>
      <c r="I32" s="22">
        <f>G32/H32</f>
        <v>9</v>
      </c>
      <c r="J32" s="22">
        <v>1</v>
      </c>
      <c r="K32" s="21" t="s">
        <v>15</v>
      </c>
      <c r="L32" s="28">
        <v>11690.2</v>
      </c>
      <c r="M32" s="29">
        <v>1811</v>
      </c>
      <c r="N32" s="23">
        <v>45345</v>
      </c>
      <c r="O32" s="30" t="s">
        <v>68</v>
      </c>
      <c r="R32" s="17"/>
    </row>
    <row r="33" spans="1:18" s="24" customFormat="1" ht="24.95" customHeight="1">
      <c r="A33" s="17">
        <v>31</v>
      </c>
      <c r="B33" s="17">
        <v>31</v>
      </c>
      <c r="C33" s="18" t="s">
        <v>120</v>
      </c>
      <c r="D33" s="19">
        <v>46.2</v>
      </c>
      <c r="E33" s="19">
        <v>107.2</v>
      </c>
      <c r="F33" s="20">
        <f>(D33-E33)/E33</f>
        <v>-0.56902985074626866</v>
      </c>
      <c r="G33" s="21">
        <v>7</v>
      </c>
      <c r="H33" s="21">
        <v>3</v>
      </c>
      <c r="I33" s="22">
        <f>G33/H33</f>
        <v>2.3333333333333335</v>
      </c>
      <c r="J33" s="22">
        <v>2</v>
      </c>
      <c r="K33" s="21">
        <v>11</v>
      </c>
      <c r="L33" s="19">
        <v>22913.130000000008</v>
      </c>
      <c r="M33" s="21">
        <v>3648</v>
      </c>
      <c r="N33" s="23">
        <v>45464</v>
      </c>
      <c r="O33" s="30" t="s">
        <v>14</v>
      </c>
      <c r="R33" s="17"/>
    </row>
    <row r="34" spans="1:18" s="24" customFormat="1" ht="24.95" customHeight="1">
      <c r="A34" s="17">
        <v>32</v>
      </c>
      <c r="B34" s="17">
        <v>34</v>
      </c>
      <c r="C34" s="18" t="s">
        <v>46</v>
      </c>
      <c r="D34" s="19">
        <v>42.6</v>
      </c>
      <c r="E34" s="19">
        <v>73.599999999999994</v>
      </c>
      <c r="F34" s="20">
        <v>-0.39748201438848924</v>
      </c>
      <c r="G34" s="21">
        <v>6</v>
      </c>
      <c r="H34" s="22">
        <v>1</v>
      </c>
      <c r="I34" s="22">
        <v>9</v>
      </c>
      <c r="J34" s="17">
        <v>1</v>
      </c>
      <c r="K34" s="21">
        <v>23</v>
      </c>
      <c r="L34" s="19">
        <v>68705.899999999994</v>
      </c>
      <c r="M34" s="21">
        <v>10610</v>
      </c>
      <c r="N34" s="23">
        <v>45379</v>
      </c>
      <c r="O34" s="30" t="s">
        <v>25</v>
      </c>
      <c r="R34" s="17"/>
    </row>
    <row r="35" spans="1:18" s="24" customFormat="1" ht="24.95" customHeight="1">
      <c r="A35" s="17">
        <v>33</v>
      </c>
      <c r="B35" s="17">
        <v>29</v>
      </c>
      <c r="C35" s="18" t="s">
        <v>149</v>
      </c>
      <c r="D35" s="28">
        <v>30.2</v>
      </c>
      <c r="E35" s="28">
        <v>176</v>
      </c>
      <c r="F35" s="20">
        <f>(D35-E35)/E35</f>
        <v>-0.82840909090909098</v>
      </c>
      <c r="G35" s="29">
        <v>6</v>
      </c>
      <c r="H35" s="21">
        <v>1</v>
      </c>
      <c r="I35" s="22">
        <v>17.5</v>
      </c>
      <c r="J35" s="22">
        <v>1</v>
      </c>
      <c r="K35" s="20" t="s">
        <v>15</v>
      </c>
      <c r="L35" s="28">
        <v>215982.2</v>
      </c>
      <c r="M35" s="29">
        <v>33424</v>
      </c>
      <c r="N35" s="23">
        <v>45191</v>
      </c>
      <c r="O35" s="30" t="s">
        <v>25</v>
      </c>
      <c r="R35" s="17"/>
    </row>
    <row r="36" spans="1:18" s="24" customFormat="1" ht="24.95" customHeight="1">
      <c r="A36" s="17">
        <v>34</v>
      </c>
      <c r="B36" s="17">
        <v>30</v>
      </c>
      <c r="C36" s="18" t="s">
        <v>143</v>
      </c>
      <c r="D36" s="19">
        <v>17</v>
      </c>
      <c r="E36" s="19">
        <v>126</v>
      </c>
      <c r="F36" s="20">
        <f>(D36-E36)/E36</f>
        <v>-0.86507936507936511</v>
      </c>
      <c r="G36" s="21">
        <v>2</v>
      </c>
      <c r="H36" s="20" t="s">
        <v>15</v>
      </c>
      <c r="I36" s="20" t="s">
        <v>15</v>
      </c>
      <c r="J36" s="22">
        <v>1</v>
      </c>
      <c r="K36" s="21">
        <v>9</v>
      </c>
      <c r="L36" s="19">
        <v>18569</v>
      </c>
      <c r="M36" s="21">
        <v>2939</v>
      </c>
      <c r="N36" s="23">
        <v>45471</v>
      </c>
      <c r="O36" s="30" t="s">
        <v>13</v>
      </c>
      <c r="R36" s="17"/>
    </row>
    <row r="37" spans="1:18" ht="24.75" customHeight="1">
      <c r="A37" s="46"/>
      <c r="B37" s="57" t="s">
        <v>26</v>
      </c>
      <c r="C37" s="48" t="s">
        <v>229</v>
      </c>
      <c r="D37" s="49">
        <f>SUBTOTAL(109,Table132456789101112131415[Pajamos 
(GBO)])</f>
        <v>334056.35000000003</v>
      </c>
      <c r="E37" s="49" t="s">
        <v>228</v>
      </c>
      <c r="F37" s="50">
        <f t="shared" ref="F37" si="3">(D37-E37)/E37</f>
        <v>-0.22300912228796835</v>
      </c>
      <c r="G37" s="52">
        <f>SUBTOTAL(109,Table132456789101112131415[Žiūrovų sk. 
(ADM)])</f>
        <v>55492</v>
      </c>
      <c r="H37" s="57"/>
      <c r="I37" s="46"/>
      <c r="J37" s="46"/>
      <c r="K37" s="57"/>
      <c r="L37" s="54"/>
      <c r="M37" s="57"/>
      <c r="N37" s="46"/>
      <c r="O37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A79E7-F2F7-44B6-8E5F-0A4C2ED3A29B}">
  <sheetPr>
    <pageSetUpPr fitToPage="1"/>
  </sheetPr>
  <dimension ref="A1:XFC44"/>
  <sheetViews>
    <sheetView topLeftCell="A26" zoomScale="60" zoomScaleNormal="60" workbookViewId="0">
      <selection activeCell="B35" sqref="B35:O35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58" customWidth="1"/>
    <col min="12" max="12" width="20.7109375" style="43" customWidth="1"/>
    <col min="13" max="13" width="20.7109375" style="58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3" t="s">
        <v>205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17">
        <v>1</v>
      </c>
      <c r="C3" s="18" t="s">
        <v>191</v>
      </c>
      <c r="D3" s="19">
        <v>154844.9</v>
      </c>
      <c r="E3" s="19">
        <v>288499.89</v>
      </c>
      <c r="F3" s="20">
        <f>(D3-E3)/E3</f>
        <v>-0.46327570523510431</v>
      </c>
      <c r="G3" s="21">
        <v>22182</v>
      </c>
      <c r="H3" s="21">
        <v>438</v>
      </c>
      <c r="I3" s="22">
        <f t="shared" ref="I3:I8" si="0">G3/H3</f>
        <v>50.643835616438359</v>
      </c>
      <c r="J3" s="22">
        <v>14</v>
      </c>
      <c r="K3" s="21">
        <v>2</v>
      </c>
      <c r="L3" s="19">
        <v>526663.92000000004</v>
      </c>
      <c r="M3" s="21">
        <v>72031</v>
      </c>
      <c r="N3" s="23">
        <v>45513</v>
      </c>
      <c r="O3" s="30" t="s">
        <v>61</v>
      </c>
    </row>
    <row r="4" spans="1:18" s="24" customFormat="1" ht="24.95" customHeight="1">
      <c r="A4" s="17">
        <v>2</v>
      </c>
      <c r="B4" s="17">
        <v>2</v>
      </c>
      <c r="C4" s="18" t="s">
        <v>178</v>
      </c>
      <c r="D4" s="19">
        <v>63611.6</v>
      </c>
      <c r="E4" s="19">
        <v>115526.75</v>
      </c>
      <c r="F4" s="20">
        <f>(D4-E4)/E4</f>
        <v>-0.44937774151873916</v>
      </c>
      <c r="G4" s="21">
        <v>9323</v>
      </c>
      <c r="H4" s="21">
        <v>258</v>
      </c>
      <c r="I4" s="22">
        <f t="shared" si="0"/>
        <v>36.13565891472868</v>
      </c>
      <c r="J4" s="22">
        <v>14</v>
      </c>
      <c r="K4" s="21">
        <v>4</v>
      </c>
      <c r="L4" s="19">
        <v>649284.24</v>
      </c>
      <c r="M4" s="21">
        <v>82315</v>
      </c>
      <c r="N4" s="23">
        <v>45499</v>
      </c>
      <c r="O4" s="30" t="s">
        <v>18</v>
      </c>
    </row>
    <row r="5" spans="1:18" s="24" customFormat="1" ht="24.95" customHeight="1">
      <c r="A5" s="17">
        <v>3</v>
      </c>
      <c r="B5" s="17" t="s">
        <v>17</v>
      </c>
      <c r="C5" s="25" t="s">
        <v>203</v>
      </c>
      <c r="D5" s="19">
        <v>60445.11</v>
      </c>
      <c r="E5" s="20" t="s">
        <v>15</v>
      </c>
      <c r="F5" s="20" t="s">
        <v>15</v>
      </c>
      <c r="G5" s="21">
        <v>8510</v>
      </c>
      <c r="H5" s="21">
        <v>257</v>
      </c>
      <c r="I5" s="22">
        <f t="shared" si="0"/>
        <v>33.112840466926073</v>
      </c>
      <c r="J5" s="22">
        <v>15</v>
      </c>
      <c r="K5" s="21">
        <v>1</v>
      </c>
      <c r="L5" s="19">
        <v>67109.31</v>
      </c>
      <c r="M5" s="21">
        <v>9360</v>
      </c>
      <c r="N5" s="23">
        <v>45520</v>
      </c>
      <c r="O5" s="53" t="s">
        <v>18</v>
      </c>
      <c r="R5" s="17"/>
    </row>
    <row r="6" spans="1:18" s="24" customFormat="1" ht="24.95" customHeight="1">
      <c r="A6" s="17">
        <v>4</v>
      </c>
      <c r="B6" s="17">
        <v>3</v>
      </c>
      <c r="C6" s="18" t="s">
        <v>146</v>
      </c>
      <c r="D6" s="19">
        <v>48325.42</v>
      </c>
      <c r="E6" s="19">
        <v>70997.7</v>
      </c>
      <c r="F6" s="20">
        <f>(D6-E6)/E6</f>
        <v>-0.31933823208357454</v>
      </c>
      <c r="G6" s="21">
        <v>9084</v>
      </c>
      <c r="H6" s="21">
        <v>283</v>
      </c>
      <c r="I6" s="22">
        <f t="shared" si="0"/>
        <v>32.098939929328623</v>
      </c>
      <c r="J6" s="22">
        <v>17</v>
      </c>
      <c r="K6" s="21">
        <v>7</v>
      </c>
      <c r="L6" s="19">
        <v>1032143.17</v>
      </c>
      <c r="M6" s="21">
        <v>178369</v>
      </c>
      <c r="N6" s="23">
        <v>45478</v>
      </c>
      <c r="O6" s="30" t="s">
        <v>63</v>
      </c>
      <c r="R6" s="17"/>
    </row>
    <row r="7" spans="1:18" s="24" customFormat="1" ht="24.95" customHeight="1">
      <c r="A7" s="17">
        <v>5</v>
      </c>
      <c r="B7" s="17">
        <v>4</v>
      </c>
      <c r="C7" s="25" t="s">
        <v>106</v>
      </c>
      <c r="D7" s="19">
        <v>26819.29</v>
      </c>
      <c r="E7" s="19">
        <v>37760.22</v>
      </c>
      <c r="F7" s="20">
        <f>(D7-E7)/E7</f>
        <v>-0.28974751736086285</v>
      </c>
      <c r="G7" s="21">
        <v>5217</v>
      </c>
      <c r="H7" s="21">
        <v>169</v>
      </c>
      <c r="I7" s="22">
        <f t="shared" si="0"/>
        <v>30.869822485207102</v>
      </c>
      <c r="J7" s="22">
        <v>16</v>
      </c>
      <c r="K7" s="21">
        <v>10</v>
      </c>
      <c r="L7" s="19">
        <v>1227221.95</v>
      </c>
      <c r="M7" s="21">
        <v>211447</v>
      </c>
      <c r="N7" s="23">
        <v>45457</v>
      </c>
      <c r="O7" s="30" t="s">
        <v>18</v>
      </c>
      <c r="R7" s="17"/>
    </row>
    <row r="8" spans="1:18" s="24" customFormat="1" ht="24.95" customHeight="1">
      <c r="A8" s="17">
        <v>6</v>
      </c>
      <c r="B8" s="17">
        <v>5</v>
      </c>
      <c r="C8" s="18" t="s">
        <v>193</v>
      </c>
      <c r="D8" s="19">
        <v>16117.18</v>
      </c>
      <c r="E8" s="19">
        <v>29316.86</v>
      </c>
      <c r="F8" s="20">
        <f>(D8-E8)/E8</f>
        <v>-0.4502419426909976</v>
      </c>
      <c r="G8" s="21">
        <v>3280</v>
      </c>
      <c r="H8" s="21">
        <v>159</v>
      </c>
      <c r="I8" s="22">
        <f t="shared" si="0"/>
        <v>20.628930817610062</v>
      </c>
      <c r="J8" s="22">
        <v>14</v>
      </c>
      <c r="K8" s="21">
        <v>2</v>
      </c>
      <c r="L8" s="19">
        <v>47288.67</v>
      </c>
      <c r="M8" s="21">
        <v>9207</v>
      </c>
      <c r="N8" s="23">
        <v>45513</v>
      </c>
      <c r="O8" s="30" t="s">
        <v>11</v>
      </c>
      <c r="R8" s="17"/>
    </row>
    <row r="9" spans="1:18" s="24" customFormat="1" ht="24.95" customHeight="1">
      <c r="A9" s="17">
        <v>7</v>
      </c>
      <c r="B9" s="22" t="s">
        <v>17</v>
      </c>
      <c r="C9" s="18" t="s">
        <v>208</v>
      </c>
      <c r="D9" s="28">
        <v>13364</v>
      </c>
      <c r="E9" s="28" t="s">
        <v>15</v>
      </c>
      <c r="F9" s="20" t="s">
        <v>15</v>
      </c>
      <c r="G9" s="29">
        <v>2695</v>
      </c>
      <c r="H9" s="21" t="s">
        <v>15</v>
      </c>
      <c r="I9" s="22" t="s">
        <v>15</v>
      </c>
      <c r="J9" s="22">
        <v>15</v>
      </c>
      <c r="K9" s="21">
        <v>1</v>
      </c>
      <c r="L9" s="28">
        <v>13364</v>
      </c>
      <c r="M9" s="29">
        <v>2695</v>
      </c>
      <c r="N9" s="23">
        <v>45520</v>
      </c>
      <c r="O9" s="30" t="s">
        <v>209</v>
      </c>
      <c r="R9" s="17"/>
    </row>
    <row r="10" spans="1:18" s="24" customFormat="1" ht="24.95" customHeight="1">
      <c r="A10" s="17">
        <v>8</v>
      </c>
      <c r="B10" s="17">
        <v>7</v>
      </c>
      <c r="C10" s="18" t="s">
        <v>184</v>
      </c>
      <c r="D10" s="19">
        <v>10267.370000000001</v>
      </c>
      <c r="E10" s="28">
        <v>22960.86</v>
      </c>
      <c r="F10" s="20">
        <f>(D10-E10)/E10</f>
        <v>-0.55283164480772928</v>
      </c>
      <c r="G10" s="21">
        <v>1484</v>
      </c>
      <c r="H10" s="20" t="s">
        <v>15</v>
      </c>
      <c r="I10" s="22" t="s">
        <v>15</v>
      </c>
      <c r="J10" s="22">
        <v>10</v>
      </c>
      <c r="K10" s="21">
        <v>3</v>
      </c>
      <c r="L10" s="19">
        <v>66259.12</v>
      </c>
      <c r="M10" s="21">
        <v>9661</v>
      </c>
      <c r="N10" s="23">
        <v>45506</v>
      </c>
      <c r="O10" s="30" t="s">
        <v>65</v>
      </c>
      <c r="R10" s="17"/>
    </row>
    <row r="11" spans="1:18" s="24" customFormat="1" ht="24.75" customHeight="1">
      <c r="A11" s="17">
        <v>9</v>
      </c>
      <c r="B11" s="17">
        <v>6</v>
      </c>
      <c r="C11" s="18" t="s">
        <v>192</v>
      </c>
      <c r="D11" s="19">
        <v>8472.16</v>
      </c>
      <c r="E11" s="19">
        <v>23464.32</v>
      </c>
      <c r="F11" s="20">
        <f>(D11-E11)/E11</f>
        <v>-0.63893434798025261</v>
      </c>
      <c r="G11" s="21">
        <v>1459</v>
      </c>
      <c r="H11" s="21">
        <v>84</v>
      </c>
      <c r="I11" s="22">
        <f t="shared" ref="I11:I16" si="1">G11/H11</f>
        <v>17.36904761904762</v>
      </c>
      <c r="J11" s="22">
        <v>9</v>
      </c>
      <c r="K11" s="21">
        <v>2</v>
      </c>
      <c r="L11" s="19">
        <v>34637.879999999997</v>
      </c>
      <c r="M11" s="21">
        <v>5395</v>
      </c>
      <c r="N11" s="23">
        <v>45513</v>
      </c>
      <c r="O11" s="30" t="s">
        <v>11</v>
      </c>
      <c r="R11" s="17"/>
    </row>
    <row r="12" spans="1:18" s="24" customFormat="1" ht="24.95" customHeight="1">
      <c r="A12" s="17">
        <v>10</v>
      </c>
      <c r="B12" s="17">
        <v>8</v>
      </c>
      <c r="C12" s="18" t="s">
        <v>165</v>
      </c>
      <c r="D12" s="19">
        <v>8345.07</v>
      </c>
      <c r="E12" s="19">
        <v>19048.400000000001</v>
      </c>
      <c r="F12" s="20">
        <f>(D12-E12)/E12</f>
        <v>-0.56190178702673199</v>
      </c>
      <c r="G12" s="21">
        <v>1356</v>
      </c>
      <c r="H12" s="21">
        <v>38</v>
      </c>
      <c r="I12" s="22">
        <f t="shared" si="1"/>
        <v>35.684210526315788</v>
      </c>
      <c r="J12" s="22">
        <v>8</v>
      </c>
      <c r="K12" s="21">
        <v>5</v>
      </c>
      <c r="L12" s="19">
        <v>152073.53</v>
      </c>
      <c r="M12" s="21">
        <v>22082</v>
      </c>
      <c r="N12" s="23">
        <v>45492</v>
      </c>
      <c r="O12" s="30" t="s">
        <v>66</v>
      </c>
      <c r="R12" s="17"/>
    </row>
    <row r="13" spans="1:18" s="24" customFormat="1" ht="24.95" customHeight="1">
      <c r="A13" s="17">
        <v>11</v>
      </c>
      <c r="B13" s="22" t="s">
        <v>23</v>
      </c>
      <c r="C13" s="18" t="s">
        <v>206</v>
      </c>
      <c r="D13" s="28">
        <v>2667.45</v>
      </c>
      <c r="E13" s="20" t="s">
        <v>15</v>
      </c>
      <c r="F13" s="20" t="s">
        <v>15</v>
      </c>
      <c r="G13" s="29">
        <v>397</v>
      </c>
      <c r="H13" s="21">
        <v>9</v>
      </c>
      <c r="I13" s="22">
        <f t="shared" si="1"/>
        <v>44.111111111111114</v>
      </c>
      <c r="J13" s="22">
        <v>9</v>
      </c>
      <c r="K13" s="21">
        <v>0</v>
      </c>
      <c r="L13" s="28">
        <v>2667.45</v>
      </c>
      <c r="M13" s="29">
        <v>397</v>
      </c>
      <c r="N13" s="23" t="s">
        <v>24</v>
      </c>
      <c r="O13" s="30" t="s">
        <v>12</v>
      </c>
      <c r="R13" s="17"/>
    </row>
    <row r="14" spans="1:18" s="24" customFormat="1" ht="24.95" customHeight="1">
      <c r="A14" s="17">
        <v>12</v>
      </c>
      <c r="B14" s="17">
        <v>9</v>
      </c>
      <c r="C14" s="18" t="s">
        <v>186</v>
      </c>
      <c r="D14" s="28">
        <v>2625.55</v>
      </c>
      <c r="E14" s="28">
        <v>9300.5</v>
      </c>
      <c r="F14" s="20">
        <f>(D14-E14)/E14</f>
        <v>-0.71769797322724582</v>
      </c>
      <c r="G14" s="29">
        <v>532</v>
      </c>
      <c r="H14" s="21">
        <v>20</v>
      </c>
      <c r="I14" s="22">
        <f t="shared" si="1"/>
        <v>26.6</v>
      </c>
      <c r="J14" s="22">
        <v>5</v>
      </c>
      <c r="K14" s="21">
        <v>3</v>
      </c>
      <c r="L14" s="28">
        <v>30143.119999999999</v>
      </c>
      <c r="M14" s="29">
        <v>5853</v>
      </c>
      <c r="N14" s="23">
        <v>45506</v>
      </c>
      <c r="O14" s="30" t="s">
        <v>61</v>
      </c>
      <c r="R14" s="17"/>
    </row>
    <row r="15" spans="1:18" s="24" customFormat="1" ht="24.95" customHeight="1">
      <c r="A15" s="17">
        <v>13</v>
      </c>
      <c r="B15" s="22" t="s">
        <v>23</v>
      </c>
      <c r="C15" s="18" t="s">
        <v>207</v>
      </c>
      <c r="D15" s="28">
        <v>2351.2199999999998</v>
      </c>
      <c r="E15" s="20" t="s">
        <v>15</v>
      </c>
      <c r="F15" s="20" t="s">
        <v>15</v>
      </c>
      <c r="G15" s="29">
        <v>338</v>
      </c>
      <c r="H15" s="21">
        <v>8</v>
      </c>
      <c r="I15" s="22">
        <f t="shared" si="1"/>
        <v>42.25</v>
      </c>
      <c r="J15" s="22">
        <v>8</v>
      </c>
      <c r="K15" s="21">
        <v>0</v>
      </c>
      <c r="L15" s="28">
        <v>2351.2199999999998</v>
      </c>
      <c r="M15" s="29">
        <v>338</v>
      </c>
      <c r="N15" s="23" t="s">
        <v>24</v>
      </c>
      <c r="O15" s="30" t="s">
        <v>11</v>
      </c>
      <c r="R15" s="17"/>
    </row>
    <row r="16" spans="1:18" s="24" customFormat="1" ht="24.95" customHeight="1">
      <c r="A16" s="17">
        <v>14</v>
      </c>
      <c r="B16" s="17">
        <v>10</v>
      </c>
      <c r="C16" s="18" t="s">
        <v>166</v>
      </c>
      <c r="D16" s="19">
        <v>1520.61</v>
      </c>
      <c r="E16" s="19">
        <v>8268.61</v>
      </c>
      <c r="F16" s="20">
        <f>(D16-E16)/E16</f>
        <v>-0.81609847362495036</v>
      </c>
      <c r="G16" s="21">
        <v>229</v>
      </c>
      <c r="H16" s="21">
        <v>12</v>
      </c>
      <c r="I16" s="22">
        <f t="shared" si="1"/>
        <v>19.083333333333332</v>
      </c>
      <c r="J16" s="22">
        <v>3</v>
      </c>
      <c r="K16" s="21">
        <v>5</v>
      </c>
      <c r="L16" s="19">
        <v>92863.98</v>
      </c>
      <c r="M16" s="21">
        <v>13321</v>
      </c>
      <c r="N16" s="23">
        <v>45492</v>
      </c>
      <c r="O16" s="30" t="s">
        <v>66</v>
      </c>
      <c r="R16" s="17"/>
    </row>
    <row r="17" spans="1:19" s="24" customFormat="1" ht="24.95" customHeight="1">
      <c r="A17" s="17">
        <v>15</v>
      </c>
      <c r="B17" s="22" t="s">
        <v>15</v>
      </c>
      <c r="C17" s="18" t="s">
        <v>211</v>
      </c>
      <c r="D17" s="28">
        <v>1416</v>
      </c>
      <c r="E17" s="28" t="s">
        <v>15</v>
      </c>
      <c r="F17" s="20" t="s">
        <v>15</v>
      </c>
      <c r="G17" s="29">
        <v>236</v>
      </c>
      <c r="H17" s="22" t="s">
        <v>15</v>
      </c>
      <c r="I17" s="22" t="s">
        <v>15</v>
      </c>
      <c r="J17" s="22" t="s">
        <v>15</v>
      </c>
      <c r="K17" s="21" t="s">
        <v>15</v>
      </c>
      <c r="L17" s="28">
        <v>21606.5</v>
      </c>
      <c r="M17" s="29">
        <v>3887</v>
      </c>
      <c r="N17" s="23">
        <v>45198</v>
      </c>
      <c r="O17" s="30" t="s">
        <v>65</v>
      </c>
      <c r="R17" s="17"/>
    </row>
    <row r="18" spans="1:19" s="24" customFormat="1" ht="24.95" customHeight="1">
      <c r="A18" s="17">
        <v>16</v>
      </c>
      <c r="B18" s="17">
        <v>19</v>
      </c>
      <c r="C18" s="18" t="s">
        <v>147</v>
      </c>
      <c r="D18" s="19">
        <v>1255.08</v>
      </c>
      <c r="E18" s="19">
        <v>793.78</v>
      </c>
      <c r="F18" s="20">
        <f>(D18-E18)/E18</f>
        <v>0.58114338985613134</v>
      </c>
      <c r="G18" s="21">
        <v>205</v>
      </c>
      <c r="H18" s="21">
        <v>14</v>
      </c>
      <c r="I18" s="22">
        <f>G18/H18</f>
        <v>14.642857142857142</v>
      </c>
      <c r="J18" s="22">
        <v>5</v>
      </c>
      <c r="K18" s="21">
        <v>7</v>
      </c>
      <c r="L18" s="19">
        <v>50086.39</v>
      </c>
      <c r="M18" s="21">
        <v>7545</v>
      </c>
      <c r="N18" s="23">
        <v>45478</v>
      </c>
      <c r="O18" s="30" t="s">
        <v>18</v>
      </c>
      <c r="R18" s="17"/>
    </row>
    <row r="19" spans="1:19" s="24" customFormat="1" ht="24.95" customHeight="1">
      <c r="A19" s="17">
        <v>17</v>
      </c>
      <c r="B19" s="17">
        <v>12</v>
      </c>
      <c r="C19" s="18" t="s">
        <v>185</v>
      </c>
      <c r="D19" s="19">
        <v>967.5</v>
      </c>
      <c r="E19" s="19">
        <v>2893.32</v>
      </c>
      <c r="F19" s="20">
        <f>(D19-E19)/E19</f>
        <v>-0.66560905810625859</v>
      </c>
      <c r="G19" s="21">
        <v>201</v>
      </c>
      <c r="H19" s="22">
        <v>19</v>
      </c>
      <c r="I19" s="22">
        <f>G19/H19</f>
        <v>10.578947368421053</v>
      </c>
      <c r="J19" s="17">
        <v>3</v>
      </c>
      <c r="K19" s="21">
        <v>4</v>
      </c>
      <c r="L19" s="19">
        <v>38071.020000000004</v>
      </c>
      <c r="M19" s="21">
        <v>7611</v>
      </c>
      <c r="N19" s="23">
        <v>45499</v>
      </c>
      <c r="O19" s="30" t="s">
        <v>14</v>
      </c>
      <c r="R19" s="17"/>
    </row>
    <row r="20" spans="1:19" s="24" customFormat="1" ht="24.95" customHeight="1">
      <c r="A20" s="17">
        <v>18</v>
      </c>
      <c r="B20" s="22" t="s">
        <v>15</v>
      </c>
      <c r="C20" s="7" t="s">
        <v>215</v>
      </c>
      <c r="D20" s="32">
        <v>922.5</v>
      </c>
      <c r="E20" s="28" t="s">
        <v>15</v>
      </c>
      <c r="F20" s="9" t="s">
        <v>15</v>
      </c>
      <c r="G20" s="33">
        <v>143</v>
      </c>
      <c r="H20" s="10">
        <v>2</v>
      </c>
      <c r="I20" s="11">
        <v>17</v>
      </c>
      <c r="J20" s="11">
        <v>1</v>
      </c>
      <c r="K20" s="10" t="s">
        <v>15</v>
      </c>
      <c r="L20" s="28">
        <v>6893.5900000000011</v>
      </c>
      <c r="M20" s="29">
        <v>1025</v>
      </c>
      <c r="N20" s="12">
        <v>45359</v>
      </c>
      <c r="O20" s="31" t="s">
        <v>82</v>
      </c>
      <c r="R20" s="17"/>
    </row>
    <row r="21" spans="1:19" s="68" customFormat="1" ht="24.95" customHeight="1">
      <c r="A21" s="17">
        <v>19</v>
      </c>
      <c r="B21" s="22" t="s">
        <v>15</v>
      </c>
      <c r="C21" s="18" t="s">
        <v>155</v>
      </c>
      <c r="D21" s="28">
        <v>709</v>
      </c>
      <c r="E21" s="28" t="s">
        <v>15</v>
      </c>
      <c r="F21" s="20" t="s">
        <v>15</v>
      </c>
      <c r="G21" s="29">
        <v>301</v>
      </c>
      <c r="H21" s="21">
        <v>28</v>
      </c>
      <c r="I21" s="22">
        <v>4.75</v>
      </c>
      <c r="J21" s="22">
        <v>4</v>
      </c>
      <c r="K21" s="21" t="s">
        <v>15</v>
      </c>
      <c r="L21" s="28">
        <v>210413.73</v>
      </c>
      <c r="M21" s="29">
        <v>43433</v>
      </c>
      <c r="N21" s="23">
        <v>44638</v>
      </c>
      <c r="O21" s="30" t="s">
        <v>63</v>
      </c>
      <c r="R21" s="67"/>
    </row>
    <row r="22" spans="1:19" s="24" customFormat="1" ht="24.75" customHeight="1">
      <c r="A22" s="17">
        <v>20</v>
      </c>
      <c r="B22" s="22" t="s">
        <v>15</v>
      </c>
      <c r="C22" s="7" t="s">
        <v>93</v>
      </c>
      <c r="D22" s="32">
        <v>605</v>
      </c>
      <c r="E22" s="28" t="s">
        <v>15</v>
      </c>
      <c r="F22" s="9" t="s">
        <v>15</v>
      </c>
      <c r="G22" s="33">
        <v>100</v>
      </c>
      <c r="H22" s="10">
        <v>2</v>
      </c>
      <c r="I22" s="11">
        <v>4.5</v>
      </c>
      <c r="J22" s="11">
        <v>1</v>
      </c>
      <c r="K22" s="10" t="s">
        <v>15</v>
      </c>
      <c r="L22" s="28">
        <v>6353.59</v>
      </c>
      <c r="M22" s="29">
        <v>1102</v>
      </c>
      <c r="N22" s="12">
        <v>45450</v>
      </c>
      <c r="O22" s="31" t="s">
        <v>82</v>
      </c>
      <c r="R22" s="17"/>
    </row>
    <row r="23" spans="1:19" s="27" customFormat="1" ht="24.75" customHeight="1">
      <c r="A23" s="17">
        <v>21</v>
      </c>
      <c r="B23" s="17">
        <v>13</v>
      </c>
      <c r="C23" s="18" t="s">
        <v>195</v>
      </c>
      <c r="D23" s="19">
        <v>556.46</v>
      </c>
      <c r="E23" s="19">
        <v>2465.79</v>
      </c>
      <c r="F23" s="20">
        <f>(D23-E23)/E23</f>
        <v>-0.77432790302499399</v>
      </c>
      <c r="G23" s="21">
        <v>81</v>
      </c>
      <c r="H23" s="22">
        <v>9</v>
      </c>
      <c r="I23" s="22">
        <f>G23/H23</f>
        <v>9</v>
      </c>
      <c r="J23" s="17">
        <v>2</v>
      </c>
      <c r="K23" s="21">
        <v>3</v>
      </c>
      <c r="L23" s="19">
        <v>9274.16</v>
      </c>
      <c r="M23" s="21">
        <v>1428</v>
      </c>
      <c r="N23" s="23">
        <v>45506</v>
      </c>
      <c r="O23" s="30" t="s">
        <v>63</v>
      </c>
      <c r="R23" s="17"/>
      <c r="S23" s="24"/>
    </row>
    <row r="24" spans="1:19" s="27" customFormat="1" ht="24.95" customHeight="1">
      <c r="A24" s="17">
        <v>22</v>
      </c>
      <c r="B24" s="22" t="s">
        <v>15</v>
      </c>
      <c r="C24" s="18" t="s">
        <v>156</v>
      </c>
      <c r="D24" s="28">
        <v>526</v>
      </c>
      <c r="E24" s="28" t="s">
        <v>15</v>
      </c>
      <c r="F24" s="20" t="s">
        <v>15</v>
      </c>
      <c r="G24" s="29">
        <v>213</v>
      </c>
      <c r="H24" s="21">
        <v>28</v>
      </c>
      <c r="I24" s="22">
        <v>6.916666666666667</v>
      </c>
      <c r="J24" s="22">
        <v>4</v>
      </c>
      <c r="K24" s="21" t="s">
        <v>15</v>
      </c>
      <c r="L24" s="28">
        <v>497464.79</v>
      </c>
      <c r="M24" s="29">
        <v>90472</v>
      </c>
      <c r="N24" s="23">
        <v>45212</v>
      </c>
      <c r="O24" s="30" t="s">
        <v>63</v>
      </c>
      <c r="R24" s="17"/>
      <c r="S24" s="24"/>
    </row>
    <row r="25" spans="1:19" s="27" customFormat="1" ht="24.75" customHeight="1">
      <c r="A25" s="17">
        <v>23</v>
      </c>
      <c r="B25" s="17">
        <v>15</v>
      </c>
      <c r="C25" s="25" t="s">
        <v>174</v>
      </c>
      <c r="D25" s="19">
        <v>507</v>
      </c>
      <c r="E25" s="19">
        <v>1827</v>
      </c>
      <c r="F25" s="20">
        <f>(D25-E25)/E25</f>
        <v>-0.72249589490968802</v>
      </c>
      <c r="G25" s="21">
        <v>82</v>
      </c>
      <c r="H25" s="21">
        <v>11</v>
      </c>
      <c r="I25" s="22">
        <f>G25/H25</f>
        <v>7.4545454545454541</v>
      </c>
      <c r="J25" s="22">
        <v>3</v>
      </c>
      <c r="K25" s="21">
        <v>5</v>
      </c>
      <c r="L25" s="19">
        <v>5845.2</v>
      </c>
      <c r="M25" s="21">
        <v>924</v>
      </c>
      <c r="N25" s="23">
        <v>45492</v>
      </c>
      <c r="O25" s="53" t="s">
        <v>116</v>
      </c>
    </row>
    <row r="26" spans="1:19" s="27" customFormat="1" ht="24.75" customHeight="1">
      <c r="A26" s="17">
        <v>24</v>
      </c>
      <c r="B26" s="17">
        <v>20</v>
      </c>
      <c r="C26" s="18" t="s">
        <v>188</v>
      </c>
      <c r="D26" s="19">
        <v>468</v>
      </c>
      <c r="E26" s="19">
        <v>528</v>
      </c>
      <c r="F26" s="20">
        <f>(D26-E26)/E26</f>
        <v>-0.11363636363636363</v>
      </c>
      <c r="G26" s="21">
        <v>84</v>
      </c>
      <c r="H26" s="20" t="s">
        <v>15</v>
      </c>
      <c r="I26" s="20" t="s">
        <v>15</v>
      </c>
      <c r="J26" s="17">
        <v>2</v>
      </c>
      <c r="K26" s="21">
        <v>4</v>
      </c>
      <c r="L26" s="19">
        <v>6205</v>
      </c>
      <c r="M26" s="21">
        <v>1045</v>
      </c>
      <c r="N26" s="23">
        <v>45499</v>
      </c>
      <c r="O26" s="30" t="s">
        <v>13</v>
      </c>
    </row>
    <row r="27" spans="1:19" s="27" customFormat="1" ht="24.75" customHeight="1">
      <c r="A27" s="17">
        <v>25</v>
      </c>
      <c r="B27" s="22" t="s">
        <v>15</v>
      </c>
      <c r="C27" s="18" t="s">
        <v>148</v>
      </c>
      <c r="D27" s="28">
        <v>438</v>
      </c>
      <c r="E27" s="28" t="s">
        <v>15</v>
      </c>
      <c r="F27" s="20" t="s">
        <v>15</v>
      </c>
      <c r="G27" s="29">
        <v>74</v>
      </c>
      <c r="H27" s="21">
        <v>3</v>
      </c>
      <c r="I27" s="22">
        <v>24.5</v>
      </c>
      <c r="J27" s="22">
        <v>3</v>
      </c>
      <c r="K27" s="21" t="s">
        <v>15</v>
      </c>
      <c r="L27" s="28">
        <v>5506.14</v>
      </c>
      <c r="M27" s="29">
        <v>944</v>
      </c>
      <c r="N27" s="23">
        <v>45471</v>
      </c>
      <c r="O27" s="30" t="s">
        <v>82</v>
      </c>
    </row>
    <row r="28" spans="1:19" s="27" customFormat="1" ht="24.75" customHeight="1">
      <c r="A28" s="17">
        <v>26</v>
      </c>
      <c r="B28" s="17">
        <v>23</v>
      </c>
      <c r="C28" s="25" t="s">
        <v>84</v>
      </c>
      <c r="D28" s="28">
        <v>429.19999999999959</v>
      </c>
      <c r="E28" s="28">
        <v>195.59999999999968</v>
      </c>
      <c r="F28" s="20">
        <v>-0.42480790340285396</v>
      </c>
      <c r="G28" s="29">
        <v>61</v>
      </c>
      <c r="H28" s="21">
        <v>8</v>
      </c>
      <c r="I28" s="22">
        <v>6</v>
      </c>
      <c r="J28" s="22">
        <v>3</v>
      </c>
      <c r="K28" s="21" t="s">
        <v>15</v>
      </c>
      <c r="L28" s="28">
        <v>12975.249999999998</v>
      </c>
      <c r="M28" s="29">
        <v>2060</v>
      </c>
      <c r="N28" s="23">
        <v>45408</v>
      </c>
      <c r="O28" s="53" t="s">
        <v>82</v>
      </c>
    </row>
    <row r="29" spans="1:19" s="24" customFormat="1" ht="24.95" customHeight="1">
      <c r="A29" s="17">
        <v>27</v>
      </c>
      <c r="B29" s="22" t="s">
        <v>15</v>
      </c>
      <c r="C29" s="7" t="s">
        <v>212</v>
      </c>
      <c r="D29" s="32">
        <v>405.5</v>
      </c>
      <c r="E29" s="28" t="s">
        <v>15</v>
      </c>
      <c r="F29" s="9" t="s">
        <v>15</v>
      </c>
      <c r="G29" s="33">
        <v>61</v>
      </c>
      <c r="H29" s="10">
        <v>1</v>
      </c>
      <c r="I29" s="11">
        <v>61</v>
      </c>
      <c r="J29" s="11">
        <v>1</v>
      </c>
      <c r="K29" s="10" t="s">
        <v>15</v>
      </c>
      <c r="L29" s="28">
        <v>25076.97</v>
      </c>
      <c r="M29" s="29" t="s">
        <v>213</v>
      </c>
      <c r="N29" s="12">
        <v>45345</v>
      </c>
      <c r="O29" s="31" t="s">
        <v>25</v>
      </c>
      <c r="R29" s="17"/>
    </row>
    <row r="30" spans="1:19" s="24" customFormat="1" ht="24.95" customHeight="1">
      <c r="A30" s="17">
        <v>28</v>
      </c>
      <c r="B30" s="22" t="s">
        <v>23</v>
      </c>
      <c r="C30" s="13" t="s">
        <v>225</v>
      </c>
      <c r="D30" s="8">
        <v>220.25</v>
      </c>
      <c r="E30" s="28" t="s">
        <v>15</v>
      </c>
      <c r="F30" s="20" t="s">
        <v>15</v>
      </c>
      <c r="G30" s="10">
        <v>32</v>
      </c>
      <c r="H30" s="20" t="s">
        <v>15</v>
      </c>
      <c r="I30" s="20" t="s">
        <v>15</v>
      </c>
      <c r="J30" s="20" t="s">
        <v>15</v>
      </c>
      <c r="K30" s="20" t="s">
        <v>15</v>
      </c>
      <c r="L30" s="19">
        <v>220.25</v>
      </c>
      <c r="M30" s="21">
        <v>32</v>
      </c>
      <c r="N30" s="12" t="s">
        <v>24</v>
      </c>
      <c r="O30" s="53" t="s">
        <v>227</v>
      </c>
      <c r="R30" s="17"/>
    </row>
    <row r="31" spans="1:19" s="24" customFormat="1" ht="24.95" customHeight="1">
      <c r="A31" s="17">
        <v>29</v>
      </c>
      <c r="B31" s="22" t="s">
        <v>15</v>
      </c>
      <c r="C31" s="18" t="s">
        <v>149</v>
      </c>
      <c r="D31" s="28">
        <v>176</v>
      </c>
      <c r="E31" s="28" t="s">
        <v>15</v>
      </c>
      <c r="F31" s="20" t="s">
        <v>15</v>
      </c>
      <c r="G31" s="29">
        <v>35</v>
      </c>
      <c r="H31" s="21">
        <v>2</v>
      </c>
      <c r="I31" s="22">
        <v>17.5</v>
      </c>
      <c r="J31" s="22">
        <v>2</v>
      </c>
      <c r="K31" s="21" t="s">
        <v>15</v>
      </c>
      <c r="L31" s="28">
        <v>215826.2</v>
      </c>
      <c r="M31" s="29">
        <v>33399</v>
      </c>
      <c r="N31" s="23">
        <v>45191</v>
      </c>
      <c r="O31" s="30" t="s">
        <v>25</v>
      </c>
      <c r="R31" s="17"/>
    </row>
    <row r="32" spans="1:19" s="24" customFormat="1" ht="24.95" customHeight="1">
      <c r="A32" s="17">
        <v>30</v>
      </c>
      <c r="B32" s="17">
        <v>25</v>
      </c>
      <c r="C32" s="18" t="s">
        <v>143</v>
      </c>
      <c r="D32" s="19">
        <v>126</v>
      </c>
      <c r="E32" s="19">
        <v>184</v>
      </c>
      <c r="F32" s="20">
        <f>(D32-E32)/E32</f>
        <v>-0.31521739130434784</v>
      </c>
      <c r="G32" s="21">
        <v>19</v>
      </c>
      <c r="H32" s="20" t="s">
        <v>15</v>
      </c>
      <c r="I32" s="20" t="s">
        <v>15</v>
      </c>
      <c r="J32" s="22">
        <v>1</v>
      </c>
      <c r="K32" s="21">
        <v>8</v>
      </c>
      <c r="L32" s="19">
        <v>18552</v>
      </c>
      <c r="M32" s="21">
        <v>2937</v>
      </c>
      <c r="N32" s="23">
        <v>45471</v>
      </c>
      <c r="O32" s="30" t="s">
        <v>13</v>
      </c>
      <c r="R32" s="17"/>
    </row>
    <row r="33" spans="1:18" s="24" customFormat="1" ht="24.95" customHeight="1">
      <c r="A33" s="17">
        <v>31</v>
      </c>
      <c r="B33" s="17">
        <v>17</v>
      </c>
      <c r="C33" s="18" t="s">
        <v>120</v>
      </c>
      <c r="D33" s="19">
        <v>107.2</v>
      </c>
      <c r="E33" s="19">
        <v>973.4</v>
      </c>
      <c r="F33" s="20">
        <f>(D33-E33)/E33</f>
        <v>-0.88987055681117722</v>
      </c>
      <c r="G33" s="21">
        <v>17</v>
      </c>
      <c r="H33" s="21">
        <v>2</v>
      </c>
      <c r="I33" s="22">
        <f>G33/H33</f>
        <v>8.5</v>
      </c>
      <c r="J33" s="22">
        <v>2</v>
      </c>
      <c r="K33" s="21">
        <v>10</v>
      </c>
      <c r="L33" s="19">
        <v>22866.930000000008</v>
      </c>
      <c r="M33" s="21">
        <v>3641</v>
      </c>
      <c r="N33" s="23">
        <v>45464</v>
      </c>
      <c r="O33" s="30" t="s">
        <v>14</v>
      </c>
      <c r="R33" s="17"/>
    </row>
    <row r="34" spans="1:18" s="24" customFormat="1" ht="24.95" customHeight="1">
      <c r="A34" s="17">
        <v>32</v>
      </c>
      <c r="B34" s="17">
        <v>16</v>
      </c>
      <c r="C34" s="25" t="s">
        <v>136</v>
      </c>
      <c r="D34" s="19">
        <v>102.1</v>
      </c>
      <c r="E34" s="19">
        <v>1822.97</v>
      </c>
      <c r="F34" s="20">
        <f>(D34-E34)/E34</f>
        <v>-0.94399249576240973</v>
      </c>
      <c r="G34" s="21">
        <v>13</v>
      </c>
      <c r="H34" s="21">
        <v>1</v>
      </c>
      <c r="I34" s="22">
        <f>G34/H34</f>
        <v>13</v>
      </c>
      <c r="J34" s="22">
        <v>1</v>
      </c>
      <c r="K34" s="21">
        <v>8</v>
      </c>
      <c r="L34" s="19">
        <v>174726.98</v>
      </c>
      <c r="M34" s="21">
        <v>24708</v>
      </c>
      <c r="N34" s="23">
        <v>45471</v>
      </c>
      <c r="O34" s="53" t="s">
        <v>62</v>
      </c>
      <c r="R34" s="17"/>
    </row>
    <row r="35" spans="1:18" s="24" customFormat="1" ht="24.95" customHeight="1">
      <c r="A35" s="17">
        <v>33</v>
      </c>
      <c r="B35" s="22" t="s">
        <v>15</v>
      </c>
      <c r="C35" s="25" t="s">
        <v>218</v>
      </c>
      <c r="D35" s="19">
        <v>75</v>
      </c>
      <c r="E35" s="20" t="s">
        <v>15</v>
      </c>
      <c r="F35" s="20" t="s">
        <v>15</v>
      </c>
      <c r="G35" s="21">
        <v>13</v>
      </c>
      <c r="H35" s="21">
        <v>2</v>
      </c>
      <c r="I35" s="22">
        <v>4.666666666666667</v>
      </c>
      <c r="J35" s="22">
        <v>1</v>
      </c>
      <c r="K35" s="21" t="s">
        <v>15</v>
      </c>
      <c r="L35" s="19">
        <v>12863.01</v>
      </c>
      <c r="M35" s="21">
        <v>2248</v>
      </c>
      <c r="N35" s="23">
        <v>45296</v>
      </c>
      <c r="O35" s="53" t="s">
        <v>116</v>
      </c>
      <c r="R35" s="17"/>
    </row>
    <row r="36" spans="1:18" s="24" customFormat="1" ht="24.95" customHeight="1">
      <c r="A36" s="17">
        <v>34</v>
      </c>
      <c r="B36" s="17">
        <v>28</v>
      </c>
      <c r="C36" s="18" t="s">
        <v>46</v>
      </c>
      <c r="D36" s="19">
        <v>73.599999999999994</v>
      </c>
      <c r="E36" s="19">
        <v>114.4</v>
      </c>
      <c r="F36" s="20">
        <v>-0.39748201438848924</v>
      </c>
      <c r="G36" s="21">
        <v>13</v>
      </c>
      <c r="H36" s="22">
        <v>2</v>
      </c>
      <c r="I36" s="22">
        <v>9</v>
      </c>
      <c r="J36" s="17">
        <v>2</v>
      </c>
      <c r="K36" s="21">
        <v>22</v>
      </c>
      <c r="L36" s="19">
        <v>68562.899999999994</v>
      </c>
      <c r="M36" s="21" t="s">
        <v>214</v>
      </c>
      <c r="N36" s="23">
        <v>45379</v>
      </c>
      <c r="O36" s="30" t="s">
        <v>25</v>
      </c>
      <c r="R36" s="17"/>
    </row>
    <row r="37" spans="1:18" s="24" customFormat="1" ht="24.95" customHeight="1">
      <c r="A37" s="17">
        <v>35</v>
      </c>
      <c r="B37" s="22" t="s">
        <v>15</v>
      </c>
      <c r="C37" s="25" t="s">
        <v>216</v>
      </c>
      <c r="D37" s="19">
        <v>62</v>
      </c>
      <c r="E37" s="20" t="s">
        <v>15</v>
      </c>
      <c r="F37" s="20" t="s">
        <v>15</v>
      </c>
      <c r="G37" s="21">
        <v>11</v>
      </c>
      <c r="H37" s="21">
        <v>2</v>
      </c>
      <c r="I37" s="22">
        <f>G37/H37</f>
        <v>5.5</v>
      </c>
      <c r="J37" s="22">
        <v>1</v>
      </c>
      <c r="K37" s="21" t="s">
        <v>15</v>
      </c>
      <c r="L37" s="19">
        <v>1584</v>
      </c>
      <c r="M37" s="21">
        <v>309</v>
      </c>
      <c r="N37" s="23">
        <v>45331</v>
      </c>
      <c r="O37" s="53" t="s">
        <v>217</v>
      </c>
      <c r="R37" s="17"/>
    </row>
    <row r="38" spans="1:18" s="24" customFormat="1" ht="24.95" customHeight="1">
      <c r="A38" s="17">
        <v>36</v>
      </c>
      <c r="B38" s="17">
        <v>30</v>
      </c>
      <c r="C38" s="18" t="s">
        <v>38</v>
      </c>
      <c r="D38" s="28">
        <v>56</v>
      </c>
      <c r="E38" s="28">
        <v>33</v>
      </c>
      <c r="F38" s="20">
        <f>(D38-E38)/E38</f>
        <v>0.69696969696969702</v>
      </c>
      <c r="G38" s="29">
        <v>10</v>
      </c>
      <c r="H38" s="21">
        <v>2</v>
      </c>
      <c r="I38" s="22">
        <f>G38/H38</f>
        <v>5</v>
      </c>
      <c r="J38" s="22">
        <v>2</v>
      </c>
      <c r="K38" s="21" t="s">
        <v>15</v>
      </c>
      <c r="L38" s="28">
        <v>5872.11</v>
      </c>
      <c r="M38" s="29">
        <v>984</v>
      </c>
      <c r="N38" s="23">
        <v>45443</v>
      </c>
      <c r="O38" s="30" t="s">
        <v>64</v>
      </c>
      <c r="R38" s="17"/>
    </row>
    <row r="39" spans="1:18" s="24" customFormat="1" ht="24.95" customHeight="1">
      <c r="A39" s="17">
        <v>37</v>
      </c>
      <c r="B39" s="22" t="s">
        <v>15</v>
      </c>
      <c r="C39" s="18" t="s">
        <v>210</v>
      </c>
      <c r="D39" s="28">
        <v>46</v>
      </c>
      <c r="E39" s="28" t="s">
        <v>15</v>
      </c>
      <c r="F39" s="20" t="s">
        <v>15</v>
      </c>
      <c r="G39" s="29">
        <v>8</v>
      </c>
      <c r="H39" s="21">
        <v>1</v>
      </c>
      <c r="I39" s="22">
        <v>12</v>
      </c>
      <c r="J39" s="22">
        <v>1</v>
      </c>
      <c r="K39" s="21" t="s">
        <v>15</v>
      </c>
      <c r="L39" s="28">
        <v>78277.69</v>
      </c>
      <c r="M39" s="29">
        <v>11525</v>
      </c>
      <c r="N39" s="23">
        <v>45394</v>
      </c>
      <c r="O39" s="30" t="s">
        <v>63</v>
      </c>
      <c r="R39" s="17"/>
    </row>
    <row r="40" spans="1:18" s="24" customFormat="1" ht="24.95" customHeight="1">
      <c r="A40" s="17">
        <v>38</v>
      </c>
      <c r="B40" s="17">
        <v>21</v>
      </c>
      <c r="C40" s="18" t="s">
        <v>153</v>
      </c>
      <c r="D40" s="19">
        <v>41</v>
      </c>
      <c r="E40" s="19">
        <v>505</v>
      </c>
      <c r="F40" s="20">
        <f>(D40-E40)/E40</f>
        <v>-0.91881188118811885</v>
      </c>
      <c r="G40" s="21">
        <v>5</v>
      </c>
      <c r="H40" s="20" t="s">
        <v>15</v>
      </c>
      <c r="I40" s="20" t="s">
        <v>15</v>
      </c>
      <c r="J40" s="22">
        <v>1</v>
      </c>
      <c r="K40" s="21">
        <v>7</v>
      </c>
      <c r="L40" s="19">
        <v>32954</v>
      </c>
      <c r="M40" s="21">
        <v>4809</v>
      </c>
      <c r="N40" s="23">
        <v>45478</v>
      </c>
      <c r="O40" s="30" t="s">
        <v>13</v>
      </c>
      <c r="R40" s="17"/>
    </row>
    <row r="41" spans="1:18" s="24" customFormat="1" ht="24.95" customHeight="1">
      <c r="A41" s="17">
        <v>39</v>
      </c>
      <c r="B41" s="17">
        <v>29</v>
      </c>
      <c r="C41" s="25" t="s">
        <v>176</v>
      </c>
      <c r="D41" s="19">
        <v>37</v>
      </c>
      <c r="E41" s="19">
        <v>45</v>
      </c>
      <c r="F41" s="20">
        <f>(D41-E41)/E41</f>
        <v>-0.17777777777777778</v>
      </c>
      <c r="G41" s="21">
        <v>11</v>
      </c>
      <c r="H41" s="20" t="s">
        <v>15</v>
      </c>
      <c r="I41" s="20" t="s">
        <v>15</v>
      </c>
      <c r="J41" s="22">
        <v>1</v>
      </c>
      <c r="K41" s="21">
        <v>5</v>
      </c>
      <c r="L41" s="19">
        <v>10718</v>
      </c>
      <c r="M41" s="21">
        <v>2315</v>
      </c>
      <c r="N41" s="23">
        <v>45492</v>
      </c>
      <c r="O41" s="53" t="s">
        <v>13</v>
      </c>
      <c r="R41" s="17"/>
    </row>
    <row r="42" spans="1:18" s="24" customFormat="1" ht="24.75" customHeight="1">
      <c r="A42" s="17">
        <v>40</v>
      </c>
      <c r="B42" s="22" t="s">
        <v>15</v>
      </c>
      <c r="C42" s="18" t="s">
        <v>163</v>
      </c>
      <c r="D42" s="28">
        <v>30</v>
      </c>
      <c r="E42" s="28" t="s">
        <v>15</v>
      </c>
      <c r="F42" s="20" t="s">
        <v>15</v>
      </c>
      <c r="G42" s="29">
        <v>6</v>
      </c>
      <c r="H42" s="21" t="s">
        <v>15</v>
      </c>
      <c r="I42" s="22" t="s">
        <v>15</v>
      </c>
      <c r="J42" s="22">
        <v>1</v>
      </c>
      <c r="K42" s="21" t="s">
        <v>15</v>
      </c>
      <c r="L42" s="28">
        <v>1662</v>
      </c>
      <c r="M42" s="29">
        <v>306</v>
      </c>
      <c r="N42" s="23">
        <v>45485</v>
      </c>
      <c r="O42" s="30" t="s">
        <v>13</v>
      </c>
      <c r="R42" s="17"/>
    </row>
    <row r="43" spans="1:18" s="24" customFormat="1" ht="24.95" customHeight="1">
      <c r="A43" s="17">
        <v>41</v>
      </c>
      <c r="B43" s="17">
        <v>24</v>
      </c>
      <c r="C43" s="25" t="s">
        <v>154</v>
      </c>
      <c r="D43" s="19">
        <v>22</v>
      </c>
      <c r="E43" s="19">
        <v>189</v>
      </c>
      <c r="F43" s="20">
        <f>(D43-E43)/E43</f>
        <v>-0.8835978835978836</v>
      </c>
      <c r="G43" s="21">
        <v>5</v>
      </c>
      <c r="H43" s="21">
        <v>1</v>
      </c>
      <c r="I43" s="22">
        <f>G43/H43</f>
        <v>5</v>
      </c>
      <c r="J43" s="22">
        <v>1</v>
      </c>
      <c r="K43" s="21">
        <v>6</v>
      </c>
      <c r="L43" s="19">
        <v>22201.72</v>
      </c>
      <c r="M43" s="21">
        <v>3444</v>
      </c>
      <c r="N43" s="23">
        <v>45485</v>
      </c>
      <c r="O43" s="53" t="s">
        <v>63</v>
      </c>
      <c r="R43" s="17"/>
    </row>
    <row r="44" spans="1:18" ht="24.75" customHeight="1">
      <c r="A44" s="46"/>
      <c r="B44" s="57" t="s">
        <v>26</v>
      </c>
      <c r="C44" s="48" t="s">
        <v>230</v>
      </c>
      <c r="D44" s="49">
        <f>SUBTOTAL(109,Table1324567891011121314[Pajamos 
(GBO)])</f>
        <v>430156.31999999989</v>
      </c>
      <c r="E44" s="49" t="s">
        <v>219</v>
      </c>
      <c r="F44" s="50">
        <f t="shared" ref="F44" si="2">(D44-E44)/E44</f>
        <v>-0.33589873511525709</v>
      </c>
      <c r="G44" s="52">
        <f>SUBTOTAL(109,Table1324567891011121314[Žiūrovų sk. 
(ADM)])</f>
        <v>68126</v>
      </c>
      <c r="H44" s="57"/>
      <c r="I44" s="46"/>
      <c r="J44" s="46"/>
      <c r="K44" s="57"/>
      <c r="L44" s="54"/>
      <c r="M44" s="57"/>
      <c r="N44" s="46"/>
      <c r="O44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9B18C-D9E6-4B5C-92D5-889FF1BF8D73}">
  <sheetPr>
    <pageSetUpPr fitToPage="1"/>
  </sheetPr>
  <dimension ref="A1:XFC33"/>
  <sheetViews>
    <sheetView zoomScale="60" zoomScaleNormal="60" workbookViewId="0">
      <selection activeCell="C17" sqref="C17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66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3" t="s">
        <v>197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4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22" t="s">
        <v>17</v>
      </c>
      <c r="C3" s="18" t="s">
        <v>191</v>
      </c>
      <c r="D3" s="19">
        <v>288499.89</v>
      </c>
      <c r="E3" s="20" t="s">
        <v>15</v>
      </c>
      <c r="F3" s="20" t="s">
        <v>15</v>
      </c>
      <c r="G3" s="21">
        <v>39304</v>
      </c>
      <c r="H3" s="21">
        <v>458</v>
      </c>
      <c r="I3" s="22">
        <f t="shared" ref="I3:I8" si="0">G3/H3</f>
        <v>85.816593886462883</v>
      </c>
      <c r="J3" s="22">
        <v>16</v>
      </c>
      <c r="K3" s="22">
        <v>1</v>
      </c>
      <c r="L3" s="19">
        <v>370511.22</v>
      </c>
      <c r="M3" s="21">
        <v>49624</v>
      </c>
      <c r="N3" s="23">
        <v>45513</v>
      </c>
      <c r="O3" s="30" t="s">
        <v>61</v>
      </c>
    </row>
    <row r="4" spans="1:18" s="24" customFormat="1" ht="24.95" customHeight="1">
      <c r="A4" s="17">
        <v>2</v>
      </c>
      <c r="B4" s="17">
        <v>1</v>
      </c>
      <c r="C4" s="18" t="s">
        <v>178</v>
      </c>
      <c r="D4" s="19">
        <v>115526.75</v>
      </c>
      <c r="E4" s="19">
        <v>144859.04999999999</v>
      </c>
      <c r="F4" s="20">
        <f>(D4-E4)/E4</f>
        <v>-0.20248855698004364</v>
      </c>
      <c r="G4" s="21">
        <v>14128</v>
      </c>
      <c r="H4" s="21">
        <v>298</v>
      </c>
      <c r="I4" s="22">
        <f t="shared" si="0"/>
        <v>47.409395973154361</v>
      </c>
      <c r="J4" s="22">
        <v>13</v>
      </c>
      <c r="K4" s="22">
        <v>3</v>
      </c>
      <c r="L4" s="19">
        <v>585672.64</v>
      </c>
      <c r="M4" s="21">
        <v>72992</v>
      </c>
      <c r="N4" s="23">
        <v>45499</v>
      </c>
      <c r="O4" s="30" t="s">
        <v>18</v>
      </c>
    </row>
    <row r="5" spans="1:18" s="24" customFormat="1" ht="24.95" customHeight="1">
      <c r="A5" s="17">
        <v>3</v>
      </c>
      <c r="B5" s="17">
        <v>3</v>
      </c>
      <c r="C5" s="18" t="s">
        <v>146</v>
      </c>
      <c r="D5" s="19">
        <v>70997.7</v>
      </c>
      <c r="E5" s="19">
        <v>65223.17</v>
      </c>
      <c r="F5" s="20">
        <f>(D5-E5)/E5</f>
        <v>8.8534948546659095E-2</v>
      </c>
      <c r="G5" s="21">
        <v>12109</v>
      </c>
      <c r="H5" s="21">
        <v>261</v>
      </c>
      <c r="I5" s="22">
        <f t="shared" si="0"/>
        <v>46.394636015325673</v>
      </c>
      <c r="J5" s="22">
        <v>17</v>
      </c>
      <c r="K5" s="22">
        <v>6</v>
      </c>
      <c r="L5" s="19">
        <v>983817.75</v>
      </c>
      <c r="M5" s="21">
        <v>169285</v>
      </c>
      <c r="N5" s="23">
        <v>45478</v>
      </c>
      <c r="O5" s="30" t="s">
        <v>63</v>
      </c>
      <c r="R5" s="17"/>
    </row>
    <row r="6" spans="1:18" s="24" customFormat="1" ht="24.95" customHeight="1">
      <c r="A6" s="17">
        <v>4</v>
      </c>
      <c r="B6" s="17">
        <v>4</v>
      </c>
      <c r="C6" s="25" t="s">
        <v>106</v>
      </c>
      <c r="D6" s="19">
        <v>37760.22</v>
      </c>
      <c r="E6" s="19">
        <v>33976.199999999997</v>
      </c>
      <c r="F6" s="20">
        <f>(D6-E6)/E6</f>
        <v>0.11137266674907742</v>
      </c>
      <c r="G6" s="21">
        <v>6838</v>
      </c>
      <c r="H6" s="21">
        <v>169</v>
      </c>
      <c r="I6" s="22">
        <f t="shared" si="0"/>
        <v>40.46153846153846</v>
      </c>
      <c r="J6" s="22">
        <v>17</v>
      </c>
      <c r="K6" s="22">
        <v>9</v>
      </c>
      <c r="L6" s="19">
        <v>1200402.6599999999</v>
      </c>
      <c r="M6" s="21">
        <v>206230</v>
      </c>
      <c r="N6" s="23">
        <v>45457</v>
      </c>
      <c r="O6" s="30" t="s">
        <v>18</v>
      </c>
      <c r="R6" s="17"/>
    </row>
    <row r="7" spans="1:18" s="24" customFormat="1" ht="24.95" customHeight="1">
      <c r="A7" s="17">
        <v>5</v>
      </c>
      <c r="B7" s="22" t="s">
        <v>17</v>
      </c>
      <c r="C7" s="18" t="s">
        <v>193</v>
      </c>
      <c r="D7" s="19">
        <v>29316.86</v>
      </c>
      <c r="E7" s="20" t="s">
        <v>15</v>
      </c>
      <c r="F7" s="20" t="s">
        <v>15</v>
      </c>
      <c r="G7" s="21">
        <v>5563</v>
      </c>
      <c r="H7" s="21">
        <v>192</v>
      </c>
      <c r="I7" s="22">
        <f t="shared" si="0"/>
        <v>28.973958333333332</v>
      </c>
      <c r="J7" s="22">
        <v>16</v>
      </c>
      <c r="K7" s="22">
        <v>1</v>
      </c>
      <c r="L7" s="19">
        <v>31022.49</v>
      </c>
      <c r="M7" s="21">
        <v>5898</v>
      </c>
      <c r="N7" s="23">
        <v>45513</v>
      </c>
      <c r="O7" s="30" t="s">
        <v>11</v>
      </c>
      <c r="R7" s="17"/>
    </row>
    <row r="8" spans="1:18" s="24" customFormat="1" ht="24.95" customHeight="1">
      <c r="A8" s="17">
        <v>6</v>
      </c>
      <c r="B8" s="22" t="s">
        <v>17</v>
      </c>
      <c r="C8" s="18" t="s">
        <v>192</v>
      </c>
      <c r="D8" s="19">
        <v>23464.32</v>
      </c>
      <c r="E8" s="20" t="s">
        <v>15</v>
      </c>
      <c r="F8" s="20" t="s">
        <v>15</v>
      </c>
      <c r="G8" s="21">
        <v>3511</v>
      </c>
      <c r="H8" s="21">
        <v>172</v>
      </c>
      <c r="I8" s="22">
        <f t="shared" si="0"/>
        <v>20.412790697674417</v>
      </c>
      <c r="J8" s="22">
        <v>13</v>
      </c>
      <c r="K8" s="22">
        <v>1</v>
      </c>
      <c r="L8" s="19">
        <v>26100.720000000001</v>
      </c>
      <c r="M8" s="21">
        <v>3920</v>
      </c>
      <c r="N8" s="23">
        <v>45513</v>
      </c>
      <c r="O8" s="30" t="s">
        <v>11</v>
      </c>
      <c r="R8" s="17"/>
    </row>
    <row r="9" spans="1:18" s="24" customFormat="1" ht="24.95" customHeight="1">
      <c r="A9" s="17">
        <v>7</v>
      </c>
      <c r="B9" s="17">
        <v>5</v>
      </c>
      <c r="C9" s="18" t="s">
        <v>184</v>
      </c>
      <c r="D9" s="19">
        <v>22960.86</v>
      </c>
      <c r="E9" s="19">
        <v>27017.53</v>
      </c>
      <c r="F9" s="20">
        <f>(D9-E9)/E9</f>
        <v>-0.15014955105074365</v>
      </c>
      <c r="G9" s="21">
        <v>3253</v>
      </c>
      <c r="H9" s="20" t="s">
        <v>15</v>
      </c>
      <c r="I9" s="20" t="s">
        <v>15</v>
      </c>
      <c r="J9" s="22">
        <v>10</v>
      </c>
      <c r="K9" s="22">
        <v>2</v>
      </c>
      <c r="L9" s="19">
        <v>50761.32</v>
      </c>
      <c r="M9" s="21">
        <v>8150</v>
      </c>
      <c r="N9" s="23">
        <v>45506</v>
      </c>
      <c r="O9" s="30" t="s">
        <v>65</v>
      </c>
      <c r="R9" s="17"/>
    </row>
    <row r="10" spans="1:18" s="24" customFormat="1" ht="24.95" customHeight="1">
      <c r="A10" s="17">
        <v>8</v>
      </c>
      <c r="B10" s="17">
        <v>6</v>
      </c>
      <c r="C10" s="18" t="s">
        <v>165</v>
      </c>
      <c r="D10" s="19">
        <v>19048.400000000001</v>
      </c>
      <c r="E10" s="19">
        <v>23111.98</v>
      </c>
      <c r="F10" s="20">
        <f>(D10-E10)/E10</f>
        <v>-0.17582137056193362</v>
      </c>
      <c r="G10" s="21">
        <v>2633</v>
      </c>
      <c r="H10" s="21">
        <v>69</v>
      </c>
      <c r="I10" s="22">
        <f t="shared" ref="I10:I15" si="1">G10/H10</f>
        <v>38.159420289855071</v>
      </c>
      <c r="J10" s="22">
        <v>10</v>
      </c>
      <c r="K10" s="22">
        <v>4</v>
      </c>
      <c r="L10" s="19">
        <v>143728.46</v>
      </c>
      <c r="M10" s="21">
        <v>20726</v>
      </c>
      <c r="N10" s="23">
        <v>45492</v>
      </c>
      <c r="O10" s="30" t="s">
        <v>66</v>
      </c>
      <c r="R10" s="17"/>
    </row>
    <row r="11" spans="1:18" s="24" customFormat="1" ht="24.75" customHeight="1">
      <c r="A11" s="17">
        <v>9</v>
      </c>
      <c r="B11" s="17">
        <v>7</v>
      </c>
      <c r="C11" s="18" t="s">
        <v>186</v>
      </c>
      <c r="D11" s="28">
        <v>9300.5</v>
      </c>
      <c r="E11" s="28">
        <v>16399.07</v>
      </c>
      <c r="F11" s="20">
        <f>(D11-E11)/E11</f>
        <v>-0.43286418071268673</v>
      </c>
      <c r="G11" s="29">
        <v>1732</v>
      </c>
      <c r="H11" s="21">
        <v>96</v>
      </c>
      <c r="I11" s="22">
        <f t="shared" si="1"/>
        <v>18.041666666666668</v>
      </c>
      <c r="J11" s="22">
        <v>14</v>
      </c>
      <c r="K11" s="22">
        <v>2</v>
      </c>
      <c r="L11" s="28">
        <v>27407.57</v>
      </c>
      <c r="M11" s="29">
        <v>5304</v>
      </c>
      <c r="N11" s="23">
        <v>45506</v>
      </c>
      <c r="O11" s="30" t="s">
        <v>61</v>
      </c>
      <c r="R11" s="17"/>
    </row>
    <row r="12" spans="1:18" s="24" customFormat="1" ht="24.95" customHeight="1">
      <c r="A12" s="17">
        <v>10</v>
      </c>
      <c r="B12" s="17">
        <v>8</v>
      </c>
      <c r="C12" s="18" t="s">
        <v>166</v>
      </c>
      <c r="D12" s="19">
        <v>8268.61</v>
      </c>
      <c r="E12" s="19">
        <v>13336.16</v>
      </c>
      <c r="F12" s="20">
        <f>(D12-E12)/E12</f>
        <v>-0.37998569303307694</v>
      </c>
      <c r="G12" s="21">
        <v>1194</v>
      </c>
      <c r="H12" s="21">
        <v>44</v>
      </c>
      <c r="I12" s="22">
        <f t="shared" si="1"/>
        <v>27.136363636363637</v>
      </c>
      <c r="J12" s="22">
        <v>7</v>
      </c>
      <c r="K12" s="22">
        <v>4</v>
      </c>
      <c r="L12" s="19">
        <v>91343.37</v>
      </c>
      <c r="M12" s="21">
        <v>13092</v>
      </c>
      <c r="N12" s="23">
        <v>45492</v>
      </c>
      <c r="O12" s="30" t="s">
        <v>66</v>
      </c>
      <c r="R12" s="17"/>
    </row>
    <row r="13" spans="1:18" s="24" customFormat="1" ht="24.95" customHeight="1">
      <c r="A13" s="17">
        <v>11</v>
      </c>
      <c r="B13" s="22" t="s">
        <v>23</v>
      </c>
      <c r="C13" s="25" t="s">
        <v>203</v>
      </c>
      <c r="D13" s="19">
        <v>6664.2</v>
      </c>
      <c r="E13" s="19" t="s">
        <v>15</v>
      </c>
      <c r="F13" s="20" t="s">
        <v>15</v>
      </c>
      <c r="G13" s="21">
        <v>850</v>
      </c>
      <c r="H13" s="21">
        <v>10</v>
      </c>
      <c r="I13" s="22">
        <f t="shared" si="1"/>
        <v>85</v>
      </c>
      <c r="J13" s="22">
        <v>9</v>
      </c>
      <c r="K13" s="22">
        <v>0</v>
      </c>
      <c r="L13" s="19">
        <v>6664.2</v>
      </c>
      <c r="M13" s="21">
        <v>850</v>
      </c>
      <c r="N13" s="23" t="s">
        <v>24</v>
      </c>
      <c r="O13" s="53" t="s">
        <v>18</v>
      </c>
      <c r="R13" s="17"/>
    </row>
    <row r="14" spans="1:18" s="24" customFormat="1" ht="24.95" customHeight="1">
      <c r="A14" s="17">
        <v>12</v>
      </c>
      <c r="B14" s="17">
        <v>9</v>
      </c>
      <c r="C14" s="18" t="s">
        <v>185</v>
      </c>
      <c r="D14" s="19">
        <v>2893.32</v>
      </c>
      <c r="E14" s="19">
        <v>11303.8</v>
      </c>
      <c r="F14" s="20">
        <f>(D14-E14)/E14</f>
        <v>-0.74404005732585499</v>
      </c>
      <c r="G14" s="21">
        <v>596</v>
      </c>
      <c r="H14" s="22">
        <v>56</v>
      </c>
      <c r="I14" s="22">
        <f t="shared" si="1"/>
        <v>10.642857142857142</v>
      </c>
      <c r="J14" s="17">
        <v>6</v>
      </c>
      <c r="K14" s="22">
        <v>3</v>
      </c>
      <c r="L14" s="19">
        <v>37103.520000000004</v>
      </c>
      <c r="M14" s="21">
        <v>7410</v>
      </c>
      <c r="N14" s="23">
        <v>45499</v>
      </c>
      <c r="O14" s="30" t="s">
        <v>14</v>
      </c>
      <c r="R14" s="17"/>
    </row>
    <row r="15" spans="1:18" s="24" customFormat="1" ht="24.95" customHeight="1">
      <c r="A15" s="17">
        <v>13</v>
      </c>
      <c r="B15" s="22">
        <v>10</v>
      </c>
      <c r="C15" s="18" t="s">
        <v>195</v>
      </c>
      <c r="D15" s="19">
        <v>2465.79</v>
      </c>
      <c r="E15" s="19">
        <v>6251.91</v>
      </c>
      <c r="F15" s="20">
        <f>(D15-E15)/E15</f>
        <v>-0.60559413043373944</v>
      </c>
      <c r="G15" s="21">
        <v>363</v>
      </c>
      <c r="H15" s="22">
        <v>31</v>
      </c>
      <c r="I15" s="22">
        <f t="shared" si="1"/>
        <v>11.709677419354838</v>
      </c>
      <c r="J15" s="17">
        <v>5</v>
      </c>
      <c r="K15" s="22">
        <v>2</v>
      </c>
      <c r="L15" s="19">
        <v>8717.7000000000007</v>
      </c>
      <c r="M15" s="21">
        <v>1347</v>
      </c>
      <c r="N15" s="23">
        <v>45506</v>
      </c>
      <c r="O15" s="30" t="s">
        <v>63</v>
      </c>
      <c r="R15" s="17"/>
    </row>
    <row r="16" spans="1:18" s="24" customFormat="1" ht="24.95" customHeight="1">
      <c r="A16" s="17">
        <v>14</v>
      </c>
      <c r="B16" s="22" t="s">
        <v>15</v>
      </c>
      <c r="C16" s="13" t="s">
        <v>200</v>
      </c>
      <c r="D16" s="8">
        <v>1863</v>
      </c>
      <c r="E16" s="19" t="s">
        <v>15</v>
      </c>
      <c r="F16" s="9" t="s">
        <v>15</v>
      </c>
      <c r="G16" s="10">
        <v>207</v>
      </c>
      <c r="H16" s="10">
        <v>1</v>
      </c>
      <c r="I16" s="11">
        <v>207</v>
      </c>
      <c r="J16" s="11">
        <v>1</v>
      </c>
      <c r="K16" s="11" t="s">
        <v>15</v>
      </c>
      <c r="L16" s="19">
        <v>7709.73</v>
      </c>
      <c r="M16" s="21">
        <v>1193</v>
      </c>
      <c r="N16" s="12">
        <v>44414</v>
      </c>
      <c r="O16" s="34" t="s">
        <v>68</v>
      </c>
      <c r="R16" s="17"/>
    </row>
    <row r="17" spans="1:19" s="24" customFormat="1" ht="24.95" customHeight="1">
      <c r="A17" s="17">
        <v>15</v>
      </c>
      <c r="B17" s="21">
        <v>17</v>
      </c>
      <c r="C17" s="25" t="s">
        <v>174</v>
      </c>
      <c r="D17" s="19">
        <v>1827</v>
      </c>
      <c r="E17" s="19">
        <v>481.4</v>
      </c>
      <c r="F17" s="20">
        <f>(D17-E17)/E17</f>
        <v>2.7951807228915664</v>
      </c>
      <c r="G17" s="21">
        <v>287</v>
      </c>
      <c r="H17" s="21">
        <v>9</v>
      </c>
      <c r="I17" s="22">
        <v>20.75</v>
      </c>
      <c r="J17" s="22">
        <v>3</v>
      </c>
      <c r="K17" s="22">
        <v>4</v>
      </c>
      <c r="L17" s="19">
        <v>5338.2</v>
      </c>
      <c r="M17" s="21">
        <v>842</v>
      </c>
      <c r="N17" s="23">
        <v>45492</v>
      </c>
      <c r="O17" s="53" t="s">
        <v>116</v>
      </c>
      <c r="R17" s="17"/>
    </row>
    <row r="18" spans="1:19" s="24" customFormat="1" ht="24.95" customHeight="1">
      <c r="A18" s="17">
        <v>16</v>
      </c>
      <c r="B18" s="17">
        <v>11</v>
      </c>
      <c r="C18" s="25" t="s">
        <v>136</v>
      </c>
      <c r="D18" s="19">
        <v>1822.97</v>
      </c>
      <c r="E18" s="19">
        <v>4300.17</v>
      </c>
      <c r="F18" s="20">
        <f>(D18-E18)/E18</f>
        <v>-0.57607024838552889</v>
      </c>
      <c r="G18" s="21">
        <v>254</v>
      </c>
      <c r="H18" s="21">
        <v>12</v>
      </c>
      <c r="I18" s="22">
        <f>G18/H18</f>
        <v>21.166666666666668</v>
      </c>
      <c r="J18" s="22">
        <v>2</v>
      </c>
      <c r="K18" s="22">
        <v>7</v>
      </c>
      <c r="L18" s="19">
        <v>174624.88</v>
      </c>
      <c r="M18" s="21">
        <v>24695</v>
      </c>
      <c r="N18" s="23">
        <v>45471</v>
      </c>
      <c r="O18" s="53" t="s">
        <v>62</v>
      </c>
      <c r="R18" s="17"/>
    </row>
    <row r="19" spans="1:19" s="24" customFormat="1" ht="24.95" customHeight="1">
      <c r="A19" s="17">
        <v>17</v>
      </c>
      <c r="B19" s="17">
        <v>25</v>
      </c>
      <c r="C19" s="18" t="s">
        <v>120</v>
      </c>
      <c r="D19" s="19">
        <v>973.4</v>
      </c>
      <c r="E19" s="19">
        <v>171.4</v>
      </c>
      <c r="F19" s="20">
        <f>(D19-E19)/E19</f>
        <v>4.6791131855309214</v>
      </c>
      <c r="G19" s="21">
        <v>156</v>
      </c>
      <c r="H19" s="21">
        <v>8</v>
      </c>
      <c r="I19" s="22">
        <f>G19/H19</f>
        <v>19.5</v>
      </c>
      <c r="J19" s="22">
        <v>5</v>
      </c>
      <c r="K19" s="22">
        <v>9</v>
      </c>
      <c r="L19" s="19">
        <v>22759.730000000007</v>
      </c>
      <c r="M19" s="21">
        <v>3624</v>
      </c>
      <c r="N19" s="23">
        <v>45464</v>
      </c>
      <c r="O19" s="30" t="s">
        <v>14</v>
      </c>
      <c r="R19" s="17"/>
    </row>
    <row r="20" spans="1:19" s="24" customFormat="1" ht="24.95" customHeight="1">
      <c r="A20" s="17">
        <v>18</v>
      </c>
      <c r="B20" s="22" t="s">
        <v>15</v>
      </c>
      <c r="C20" s="7" t="s">
        <v>199</v>
      </c>
      <c r="D20" s="32">
        <v>938</v>
      </c>
      <c r="E20" s="11" t="s">
        <v>15</v>
      </c>
      <c r="F20" s="9" t="s">
        <v>15</v>
      </c>
      <c r="G20" s="33">
        <v>410</v>
      </c>
      <c r="H20" s="10">
        <v>28</v>
      </c>
      <c r="I20" s="11">
        <f>G20/H20</f>
        <v>14.642857142857142</v>
      </c>
      <c r="J20" s="10">
        <v>4</v>
      </c>
      <c r="K20" s="11" t="s">
        <v>15</v>
      </c>
      <c r="L20" s="32">
        <v>43740.17</v>
      </c>
      <c r="M20" s="33">
        <v>8857</v>
      </c>
      <c r="N20" s="12">
        <v>45240</v>
      </c>
      <c r="O20" s="31" t="s">
        <v>11</v>
      </c>
      <c r="R20" s="17"/>
    </row>
    <row r="21" spans="1:19" s="68" customFormat="1" ht="24.95" customHeight="1">
      <c r="A21" s="17">
        <v>19</v>
      </c>
      <c r="B21" s="17">
        <v>13</v>
      </c>
      <c r="C21" s="18" t="s">
        <v>147</v>
      </c>
      <c r="D21" s="19">
        <v>793.78</v>
      </c>
      <c r="E21" s="19">
        <v>2387.34</v>
      </c>
      <c r="F21" s="20">
        <f>(D21-E21)/E21</f>
        <v>-0.66750441914431968</v>
      </c>
      <c r="G21" s="21">
        <v>169</v>
      </c>
      <c r="H21" s="21">
        <v>6</v>
      </c>
      <c r="I21" s="22">
        <f>G21/H21</f>
        <v>28.166666666666668</v>
      </c>
      <c r="J21" s="22">
        <v>3</v>
      </c>
      <c r="K21" s="22">
        <v>6</v>
      </c>
      <c r="L21" s="19">
        <v>48831.31</v>
      </c>
      <c r="M21" s="21">
        <v>7340</v>
      </c>
      <c r="N21" s="23">
        <v>45478</v>
      </c>
      <c r="O21" s="30" t="s">
        <v>18</v>
      </c>
      <c r="R21" s="67"/>
    </row>
    <row r="22" spans="1:19" s="24" customFormat="1" ht="24.75" customHeight="1">
      <c r="A22" s="17">
        <v>20</v>
      </c>
      <c r="B22" s="17">
        <v>20</v>
      </c>
      <c r="C22" s="18" t="s">
        <v>188</v>
      </c>
      <c r="D22" s="19">
        <v>528</v>
      </c>
      <c r="E22" s="19">
        <v>277</v>
      </c>
      <c r="F22" s="20">
        <f>(D22-E22)/E22</f>
        <v>0.90613718411552346</v>
      </c>
      <c r="G22" s="21">
        <v>101</v>
      </c>
      <c r="H22" s="20" t="s">
        <v>15</v>
      </c>
      <c r="I22" s="20" t="s">
        <v>15</v>
      </c>
      <c r="J22" s="17">
        <v>3</v>
      </c>
      <c r="K22" s="22">
        <v>3</v>
      </c>
      <c r="L22" s="19">
        <v>5936</v>
      </c>
      <c r="M22" s="21">
        <v>961</v>
      </c>
      <c r="N22" s="23">
        <v>45499</v>
      </c>
      <c r="O22" s="30" t="s">
        <v>13</v>
      </c>
      <c r="R22" s="17"/>
    </row>
    <row r="23" spans="1:19" s="27" customFormat="1" ht="24.75" customHeight="1">
      <c r="A23" s="17">
        <v>21</v>
      </c>
      <c r="B23" s="17">
        <v>22</v>
      </c>
      <c r="C23" s="18" t="s">
        <v>153</v>
      </c>
      <c r="D23" s="19">
        <v>505</v>
      </c>
      <c r="E23" s="19">
        <v>213</v>
      </c>
      <c r="F23" s="20">
        <f>(D23-E23)/E23</f>
        <v>1.3708920187793427</v>
      </c>
      <c r="G23" s="21">
        <v>66</v>
      </c>
      <c r="H23" s="20" t="s">
        <v>15</v>
      </c>
      <c r="I23" s="20" t="s">
        <v>15</v>
      </c>
      <c r="J23" s="22">
        <v>1</v>
      </c>
      <c r="K23" s="22">
        <v>6</v>
      </c>
      <c r="L23" s="19">
        <v>32913</v>
      </c>
      <c r="M23" s="21">
        <v>4804</v>
      </c>
      <c r="N23" s="23">
        <v>45478</v>
      </c>
      <c r="O23" s="30" t="s">
        <v>13</v>
      </c>
      <c r="R23" s="17"/>
      <c r="S23" s="24"/>
    </row>
    <row r="24" spans="1:19" s="27" customFormat="1" ht="24.95" customHeight="1">
      <c r="A24" s="17">
        <v>22</v>
      </c>
      <c r="B24" s="19" t="s">
        <v>15</v>
      </c>
      <c r="C24" s="25" t="s">
        <v>86</v>
      </c>
      <c r="D24" s="19">
        <v>242</v>
      </c>
      <c r="E24" s="19" t="s">
        <v>15</v>
      </c>
      <c r="F24" s="20" t="s">
        <v>15</v>
      </c>
      <c r="G24" s="21">
        <v>41</v>
      </c>
      <c r="H24" s="21">
        <v>1</v>
      </c>
      <c r="I24" s="22">
        <v>16</v>
      </c>
      <c r="J24" s="22">
        <v>1</v>
      </c>
      <c r="K24" s="22" t="s">
        <v>15</v>
      </c>
      <c r="L24" s="19">
        <v>362331.55</v>
      </c>
      <c r="M24" s="21">
        <v>51938</v>
      </c>
      <c r="N24" s="23">
        <v>45310</v>
      </c>
      <c r="O24" s="53" t="s">
        <v>18</v>
      </c>
      <c r="R24" s="17"/>
      <c r="S24" s="24"/>
    </row>
    <row r="25" spans="1:19" s="27" customFormat="1" ht="24.75" customHeight="1">
      <c r="A25" s="17">
        <v>23</v>
      </c>
      <c r="B25" s="17">
        <v>27</v>
      </c>
      <c r="C25" s="25" t="s">
        <v>84</v>
      </c>
      <c r="D25" s="28">
        <v>195.59999999999968</v>
      </c>
      <c r="E25" s="28">
        <v>119.20000000000005</v>
      </c>
      <c r="F25" s="20">
        <v>-0.42480790340285396</v>
      </c>
      <c r="G25" s="29">
        <v>25</v>
      </c>
      <c r="H25" s="21">
        <v>5</v>
      </c>
      <c r="I25" s="22">
        <v>6</v>
      </c>
      <c r="J25" s="22">
        <v>2</v>
      </c>
      <c r="K25" s="22" t="s">
        <v>15</v>
      </c>
      <c r="L25" s="28">
        <v>12546.05</v>
      </c>
      <c r="M25" s="29">
        <v>1999</v>
      </c>
      <c r="N25" s="23">
        <v>45408</v>
      </c>
      <c r="O25" s="53" t="s">
        <v>82</v>
      </c>
    </row>
    <row r="26" spans="1:19" s="27" customFormat="1" ht="24.75" customHeight="1">
      <c r="A26" s="17">
        <v>24</v>
      </c>
      <c r="B26" s="17">
        <v>24</v>
      </c>
      <c r="C26" s="25" t="s">
        <v>154</v>
      </c>
      <c r="D26" s="19">
        <v>189</v>
      </c>
      <c r="E26" s="19">
        <v>173</v>
      </c>
      <c r="F26" s="20">
        <f>(D26-E26)/E26</f>
        <v>9.2485549132947972E-2</v>
      </c>
      <c r="G26" s="21">
        <v>35</v>
      </c>
      <c r="H26" s="21">
        <v>3</v>
      </c>
      <c r="I26" s="22">
        <f>G26/H26</f>
        <v>11.666666666666666</v>
      </c>
      <c r="J26" s="22">
        <v>2</v>
      </c>
      <c r="K26" s="22">
        <v>5</v>
      </c>
      <c r="L26" s="19">
        <v>22179.72</v>
      </c>
      <c r="M26" s="21">
        <v>3439</v>
      </c>
      <c r="N26" s="23">
        <v>45485</v>
      </c>
      <c r="O26" s="53" t="s">
        <v>63</v>
      </c>
    </row>
    <row r="27" spans="1:19" s="27" customFormat="1" ht="24.75" customHeight="1">
      <c r="A27" s="17">
        <v>25</v>
      </c>
      <c r="B27" s="17">
        <v>26</v>
      </c>
      <c r="C27" s="18" t="s">
        <v>143</v>
      </c>
      <c r="D27" s="19">
        <v>184</v>
      </c>
      <c r="E27" s="19">
        <v>160</v>
      </c>
      <c r="F27" s="20">
        <f>(D27-E27)/E27</f>
        <v>0.15</v>
      </c>
      <c r="G27" s="21">
        <v>29</v>
      </c>
      <c r="H27" s="20" t="s">
        <v>15</v>
      </c>
      <c r="I27" s="20" t="s">
        <v>15</v>
      </c>
      <c r="J27" s="22">
        <v>2</v>
      </c>
      <c r="K27" s="22">
        <v>7</v>
      </c>
      <c r="L27" s="19">
        <v>18426</v>
      </c>
      <c r="M27" s="21">
        <v>2918</v>
      </c>
      <c r="N27" s="23">
        <v>45471</v>
      </c>
      <c r="O27" s="30" t="s">
        <v>13</v>
      </c>
    </row>
    <row r="28" spans="1:19" s="27" customFormat="1" ht="24.75" customHeight="1">
      <c r="A28" s="17">
        <v>26</v>
      </c>
      <c r="B28" s="22" t="s">
        <v>15</v>
      </c>
      <c r="C28" s="25" t="s">
        <v>44</v>
      </c>
      <c r="D28" s="19">
        <v>153</v>
      </c>
      <c r="E28" s="19" t="s">
        <v>15</v>
      </c>
      <c r="F28" s="20" t="s">
        <v>15</v>
      </c>
      <c r="G28" s="21">
        <v>30</v>
      </c>
      <c r="H28" s="21">
        <v>1</v>
      </c>
      <c r="I28" s="22">
        <v>30</v>
      </c>
      <c r="J28" s="22">
        <v>1</v>
      </c>
      <c r="K28" s="22" t="s">
        <v>15</v>
      </c>
      <c r="L28" s="19">
        <v>59848.28</v>
      </c>
      <c r="M28" s="21" t="s">
        <v>202</v>
      </c>
      <c r="N28" s="23">
        <v>45379</v>
      </c>
      <c r="O28" s="53" t="s">
        <v>25</v>
      </c>
    </row>
    <row r="29" spans="1:19" s="24" customFormat="1" ht="24.95" customHeight="1">
      <c r="A29" s="17">
        <v>27</v>
      </c>
      <c r="B29" s="22" t="s">
        <v>15</v>
      </c>
      <c r="C29" s="18" t="s">
        <v>83</v>
      </c>
      <c r="D29" s="19">
        <v>152</v>
      </c>
      <c r="E29" s="20" t="s">
        <v>15</v>
      </c>
      <c r="F29" s="20" t="s">
        <v>15</v>
      </c>
      <c r="G29" s="21">
        <v>25</v>
      </c>
      <c r="H29" s="21">
        <v>3</v>
      </c>
      <c r="I29" s="38">
        <f>G29/H29</f>
        <v>8.3333333333333339</v>
      </c>
      <c r="J29" s="22">
        <v>2</v>
      </c>
      <c r="K29" s="22" t="s">
        <v>15</v>
      </c>
      <c r="L29" s="19">
        <v>11683.19</v>
      </c>
      <c r="M29" s="21">
        <v>1983</v>
      </c>
      <c r="N29" s="23">
        <v>45387</v>
      </c>
      <c r="O29" s="30" t="s">
        <v>82</v>
      </c>
      <c r="R29" s="17"/>
    </row>
    <row r="30" spans="1:19" s="24" customFormat="1" ht="24.95" customHeight="1">
      <c r="A30" s="17">
        <v>28</v>
      </c>
      <c r="B30" s="17">
        <v>32</v>
      </c>
      <c r="C30" s="18" t="s">
        <v>46</v>
      </c>
      <c r="D30" s="19">
        <v>114.4</v>
      </c>
      <c r="E30" s="19">
        <v>40</v>
      </c>
      <c r="F30" s="20">
        <v>-0.39748201438848924</v>
      </c>
      <c r="G30" s="21">
        <v>18</v>
      </c>
      <c r="H30" s="22">
        <v>2</v>
      </c>
      <c r="I30" s="22">
        <v>9</v>
      </c>
      <c r="J30" s="17">
        <v>2</v>
      </c>
      <c r="K30" s="22">
        <v>21</v>
      </c>
      <c r="L30" s="19">
        <v>68440.3</v>
      </c>
      <c r="M30" s="21" t="s">
        <v>201</v>
      </c>
      <c r="N30" s="23">
        <v>45379</v>
      </c>
      <c r="O30" s="30" t="s">
        <v>25</v>
      </c>
      <c r="R30" s="17"/>
    </row>
    <row r="31" spans="1:19" s="24" customFormat="1" ht="24.95" customHeight="1">
      <c r="A31" s="17">
        <v>29</v>
      </c>
      <c r="B31" s="17">
        <v>28</v>
      </c>
      <c r="C31" s="25" t="s">
        <v>176</v>
      </c>
      <c r="D31" s="19">
        <v>45</v>
      </c>
      <c r="E31" s="19">
        <v>83</v>
      </c>
      <c r="F31" s="20">
        <f>(D31-E31)/E31</f>
        <v>-0.45783132530120479</v>
      </c>
      <c r="G31" s="21">
        <v>14</v>
      </c>
      <c r="H31" s="20" t="s">
        <v>15</v>
      </c>
      <c r="I31" s="20" t="s">
        <v>15</v>
      </c>
      <c r="J31" s="22">
        <v>2</v>
      </c>
      <c r="K31" s="22">
        <v>4</v>
      </c>
      <c r="L31" s="19">
        <v>10682</v>
      </c>
      <c r="M31" s="21">
        <v>2304</v>
      </c>
      <c r="N31" s="23">
        <v>45492</v>
      </c>
      <c r="O31" s="53" t="s">
        <v>13</v>
      </c>
      <c r="R31" s="17"/>
    </row>
    <row r="32" spans="1:19" s="24" customFormat="1" ht="24.95" customHeight="1">
      <c r="A32" s="17">
        <v>30</v>
      </c>
      <c r="B32" s="17">
        <v>29</v>
      </c>
      <c r="C32" s="18" t="s">
        <v>38</v>
      </c>
      <c r="D32" s="28">
        <v>33</v>
      </c>
      <c r="E32" s="28">
        <v>56</v>
      </c>
      <c r="F32" s="20">
        <f>(D32-E32)/E32</f>
        <v>-0.4107142857142857</v>
      </c>
      <c r="G32" s="29">
        <v>9</v>
      </c>
      <c r="H32" s="21">
        <v>1</v>
      </c>
      <c r="I32" s="22">
        <f>G32/H32</f>
        <v>9</v>
      </c>
      <c r="J32" s="22">
        <v>1</v>
      </c>
      <c r="K32" s="22" t="s">
        <v>15</v>
      </c>
      <c r="L32" s="28">
        <v>5816.11</v>
      </c>
      <c r="M32" s="29">
        <v>974</v>
      </c>
      <c r="N32" s="23">
        <v>45443</v>
      </c>
      <c r="O32" s="30" t="s">
        <v>64</v>
      </c>
      <c r="R32" s="17"/>
    </row>
    <row r="33" spans="1:15" ht="24.75" customHeight="1">
      <c r="A33" s="46"/>
      <c r="B33" s="57" t="s">
        <v>26</v>
      </c>
      <c r="C33" s="48" t="s">
        <v>204</v>
      </c>
      <c r="D33" s="49">
        <f>SUBTOTAL(109,Table13245678910111213[Pajamos 
(GBO)])</f>
        <v>647726.56999999995</v>
      </c>
      <c r="E33" s="49" t="s">
        <v>198</v>
      </c>
      <c r="F33" s="50">
        <f t="shared" ref="F33" si="2">(D33-E33)/E33</f>
        <v>0.4760307408335801</v>
      </c>
      <c r="G33" s="52">
        <f>SUBTOTAL(109,Table13245678910111213[Žiūrovų sk. 
(ADM)])</f>
        <v>93950</v>
      </c>
      <c r="H33" s="57"/>
      <c r="I33" s="46"/>
      <c r="J33" s="46"/>
      <c r="K33" s="65"/>
      <c r="L33" s="54"/>
      <c r="M33" s="46"/>
      <c r="N33" s="46"/>
      <c r="O33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F7D1E-37C6-4EA1-9FC3-C1C5C928D1B7}">
  <sheetPr>
    <pageSetUpPr fitToPage="1"/>
  </sheetPr>
  <dimension ref="A1:XFC40"/>
  <sheetViews>
    <sheetView topLeftCell="A12" zoomScale="60" zoomScaleNormal="60" workbookViewId="0">
      <selection activeCell="C20" sqref="C20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3" t="s">
        <v>190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17">
        <v>1</v>
      </c>
      <c r="C3" s="18" t="s">
        <v>178</v>
      </c>
      <c r="D3" s="19">
        <v>144859.04999999999</v>
      </c>
      <c r="E3" s="19">
        <v>240323.4</v>
      </c>
      <c r="F3" s="20">
        <f>(D3-E3)/E3</f>
        <v>-0.39723285372959938</v>
      </c>
      <c r="G3" s="21">
        <v>18494</v>
      </c>
      <c r="H3" s="21">
        <v>448</v>
      </c>
      <c r="I3" s="22">
        <f>G3/H3</f>
        <v>41.28125</v>
      </c>
      <c r="J3" s="22">
        <v>15</v>
      </c>
      <c r="K3" s="22">
        <v>2</v>
      </c>
      <c r="L3" s="19">
        <v>470343.29</v>
      </c>
      <c r="M3" s="21">
        <v>58892</v>
      </c>
      <c r="N3" s="23">
        <v>45499</v>
      </c>
      <c r="O3" s="30" t="s">
        <v>18</v>
      </c>
    </row>
    <row r="4" spans="1:18" s="24" customFormat="1" ht="24.95" customHeight="1">
      <c r="A4" s="17">
        <v>2</v>
      </c>
      <c r="B4" s="22" t="s">
        <v>23</v>
      </c>
      <c r="C4" s="18" t="s">
        <v>191</v>
      </c>
      <c r="D4" s="19">
        <v>82011.33</v>
      </c>
      <c r="E4" s="19" t="s">
        <v>15</v>
      </c>
      <c r="F4" s="20" t="s">
        <v>15</v>
      </c>
      <c r="G4" s="21">
        <v>10320</v>
      </c>
      <c r="H4" s="21">
        <v>77</v>
      </c>
      <c r="I4" s="22">
        <f>G4/H4</f>
        <v>134.02597402597402</v>
      </c>
      <c r="J4" s="22">
        <v>13</v>
      </c>
      <c r="K4" s="22">
        <v>0</v>
      </c>
      <c r="L4" s="19">
        <v>82011.33</v>
      </c>
      <c r="M4" s="21">
        <v>10320</v>
      </c>
      <c r="N4" s="23" t="s">
        <v>24</v>
      </c>
      <c r="O4" s="30" t="s">
        <v>61</v>
      </c>
    </row>
    <row r="5" spans="1:18" s="24" customFormat="1" ht="24.95" customHeight="1">
      <c r="A5" s="17">
        <v>3</v>
      </c>
      <c r="B5" s="17">
        <v>2</v>
      </c>
      <c r="C5" s="18" t="s">
        <v>146</v>
      </c>
      <c r="D5" s="19">
        <v>65223.17</v>
      </c>
      <c r="E5" s="19">
        <v>133346.70000000001</v>
      </c>
      <c r="F5" s="20">
        <f>(D5-E5)/E5</f>
        <v>-0.51087525975520964</v>
      </c>
      <c r="G5" s="21">
        <v>12077</v>
      </c>
      <c r="H5" s="21">
        <v>354</v>
      </c>
      <c r="I5" s="22">
        <f>G5/H5</f>
        <v>34.11581920903955</v>
      </c>
      <c r="J5" s="22">
        <v>21</v>
      </c>
      <c r="K5" s="22">
        <v>5</v>
      </c>
      <c r="L5" s="19">
        <v>912820.05</v>
      </c>
      <c r="M5" s="21">
        <v>157176</v>
      </c>
      <c r="N5" s="23">
        <v>45478</v>
      </c>
      <c r="O5" s="30" t="s">
        <v>63</v>
      </c>
      <c r="R5" s="17"/>
    </row>
    <row r="6" spans="1:18" s="24" customFormat="1" ht="24.95" customHeight="1">
      <c r="A6" s="17">
        <v>4</v>
      </c>
      <c r="B6" s="17">
        <v>3</v>
      </c>
      <c r="C6" s="25" t="s">
        <v>106</v>
      </c>
      <c r="D6" s="19">
        <v>33976.199999999997</v>
      </c>
      <c r="E6" s="19">
        <v>50719.6</v>
      </c>
      <c r="F6" s="20">
        <f>(D6-E6)/E6</f>
        <v>-0.33011695675833408</v>
      </c>
      <c r="G6" s="21">
        <v>6316</v>
      </c>
      <c r="H6" s="21">
        <v>196</v>
      </c>
      <c r="I6" s="22">
        <f>G6/H6</f>
        <v>32.224489795918366</v>
      </c>
      <c r="J6" s="22">
        <v>18</v>
      </c>
      <c r="K6" s="22">
        <v>8</v>
      </c>
      <c r="L6" s="19">
        <v>1162642.44</v>
      </c>
      <c r="M6" s="21">
        <v>199392</v>
      </c>
      <c r="N6" s="23">
        <v>45457</v>
      </c>
      <c r="O6" s="30" t="s">
        <v>18</v>
      </c>
      <c r="R6" s="17"/>
    </row>
    <row r="7" spans="1:18" s="24" customFormat="1" ht="24.95" customHeight="1">
      <c r="A7" s="17">
        <v>5</v>
      </c>
      <c r="B7" s="17" t="s">
        <v>17</v>
      </c>
      <c r="C7" s="18" t="s">
        <v>184</v>
      </c>
      <c r="D7" s="19">
        <v>27017.53</v>
      </c>
      <c r="E7" s="20" t="s">
        <v>15</v>
      </c>
      <c r="F7" s="20" t="s">
        <v>15</v>
      </c>
      <c r="G7" s="21">
        <v>4311</v>
      </c>
      <c r="H7" s="20" t="s">
        <v>15</v>
      </c>
      <c r="I7" s="20" t="s">
        <v>15</v>
      </c>
      <c r="J7" s="22">
        <v>10</v>
      </c>
      <c r="K7" s="22">
        <v>1</v>
      </c>
      <c r="L7" s="19">
        <v>28429.059999999998</v>
      </c>
      <c r="M7" s="21">
        <v>4897</v>
      </c>
      <c r="N7" s="23">
        <v>45506</v>
      </c>
      <c r="O7" s="30" t="s">
        <v>65</v>
      </c>
      <c r="R7" s="17"/>
    </row>
    <row r="8" spans="1:18" s="24" customFormat="1" ht="24.95" customHeight="1">
      <c r="A8" s="17">
        <v>6</v>
      </c>
      <c r="B8" s="17">
        <v>4</v>
      </c>
      <c r="C8" s="18" t="s">
        <v>165</v>
      </c>
      <c r="D8" s="19">
        <v>23111.98</v>
      </c>
      <c r="E8" s="19">
        <v>43554.239999999998</v>
      </c>
      <c r="F8" s="20">
        <f>(D8-E8)/E8</f>
        <v>-0.46935177838024494</v>
      </c>
      <c r="G8" s="21">
        <v>3543</v>
      </c>
      <c r="H8" s="21">
        <v>133</v>
      </c>
      <c r="I8" s="22">
        <f t="shared" ref="I8:I21" si="0">G8/H8</f>
        <v>26.639097744360903</v>
      </c>
      <c r="J8" s="22">
        <v>11</v>
      </c>
      <c r="K8" s="22">
        <v>3</v>
      </c>
      <c r="L8" s="19">
        <v>124680.06</v>
      </c>
      <c r="M8" s="21">
        <v>18093</v>
      </c>
      <c r="N8" s="23" t="s">
        <v>177</v>
      </c>
      <c r="O8" s="30" t="s">
        <v>66</v>
      </c>
      <c r="R8" s="17"/>
    </row>
    <row r="9" spans="1:18" s="24" customFormat="1" ht="24.95" customHeight="1">
      <c r="A9" s="17">
        <v>7</v>
      </c>
      <c r="B9" s="17" t="s">
        <v>17</v>
      </c>
      <c r="C9" s="18" t="s">
        <v>186</v>
      </c>
      <c r="D9" s="28">
        <v>16399.07</v>
      </c>
      <c r="E9" s="20" t="s">
        <v>15</v>
      </c>
      <c r="F9" s="20" t="s">
        <v>15</v>
      </c>
      <c r="G9" s="29">
        <v>3253</v>
      </c>
      <c r="H9" s="21">
        <v>255</v>
      </c>
      <c r="I9" s="22">
        <f t="shared" si="0"/>
        <v>12.75686274509804</v>
      </c>
      <c r="J9" s="22">
        <v>17</v>
      </c>
      <c r="K9" s="22">
        <v>1</v>
      </c>
      <c r="L9" s="28">
        <v>18107.07</v>
      </c>
      <c r="M9" s="29">
        <v>3572</v>
      </c>
      <c r="N9" s="23">
        <v>45506</v>
      </c>
      <c r="O9" s="30" t="s">
        <v>61</v>
      </c>
      <c r="R9" s="17"/>
    </row>
    <row r="10" spans="1:18" s="24" customFormat="1" ht="24.95" customHeight="1">
      <c r="A10" s="17">
        <v>8</v>
      </c>
      <c r="B10" s="17">
        <v>5</v>
      </c>
      <c r="C10" s="18" t="s">
        <v>166</v>
      </c>
      <c r="D10" s="19">
        <v>13336.16</v>
      </c>
      <c r="E10" s="19">
        <v>29947.77</v>
      </c>
      <c r="F10" s="20">
        <f>(D10-E10)/E10</f>
        <v>-0.55468604173198877</v>
      </c>
      <c r="G10" s="21">
        <v>2088</v>
      </c>
      <c r="H10" s="21">
        <v>90</v>
      </c>
      <c r="I10" s="22">
        <f t="shared" si="0"/>
        <v>23.2</v>
      </c>
      <c r="J10" s="22">
        <v>11</v>
      </c>
      <c r="K10" s="22">
        <v>3</v>
      </c>
      <c r="L10" s="19">
        <v>83074.759999999995</v>
      </c>
      <c r="M10" s="21">
        <v>11898</v>
      </c>
      <c r="N10" s="23" t="s">
        <v>177</v>
      </c>
      <c r="O10" s="30" t="s">
        <v>66</v>
      </c>
      <c r="R10" s="17"/>
    </row>
    <row r="11" spans="1:18" s="24" customFormat="1" ht="24.75" customHeight="1">
      <c r="A11" s="17">
        <v>9</v>
      </c>
      <c r="B11" s="17">
        <v>6</v>
      </c>
      <c r="C11" s="18" t="s">
        <v>185</v>
      </c>
      <c r="D11" s="19">
        <v>11303.8</v>
      </c>
      <c r="E11" s="19">
        <v>22906.400000000001</v>
      </c>
      <c r="F11" s="20">
        <f>(D11-E11)/E11</f>
        <v>-0.5065221946704852</v>
      </c>
      <c r="G11" s="21">
        <v>2356</v>
      </c>
      <c r="H11" s="22">
        <v>172</v>
      </c>
      <c r="I11" s="22">
        <f t="shared" si="0"/>
        <v>13.697674418604651</v>
      </c>
      <c r="J11" s="17">
        <v>16</v>
      </c>
      <c r="K11" s="22">
        <v>2</v>
      </c>
      <c r="L11" s="19">
        <v>34210.200000000004</v>
      </c>
      <c r="M11" s="21">
        <v>6814</v>
      </c>
      <c r="N11" s="23">
        <v>45499</v>
      </c>
      <c r="O11" s="30" t="s">
        <v>14</v>
      </c>
      <c r="R11" s="17"/>
    </row>
    <row r="12" spans="1:18" s="24" customFormat="1" ht="24.95" customHeight="1">
      <c r="A12" s="17">
        <v>10</v>
      </c>
      <c r="B12" s="22" t="s">
        <v>17</v>
      </c>
      <c r="C12" s="18" t="s">
        <v>195</v>
      </c>
      <c r="D12" s="19">
        <v>6251.91</v>
      </c>
      <c r="E12" s="19" t="s">
        <v>15</v>
      </c>
      <c r="F12" s="20" t="s">
        <v>15</v>
      </c>
      <c r="G12" s="21">
        <v>984</v>
      </c>
      <c r="H12" s="22">
        <v>118</v>
      </c>
      <c r="I12" s="22">
        <f t="shared" si="0"/>
        <v>8.3389830508474585</v>
      </c>
      <c r="J12" s="17">
        <v>14</v>
      </c>
      <c r="K12" s="22">
        <v>1</v>
      </c>
      <c r="L12" s="19">
        <v>6251.91</v>
      </c>
      <c r="M12" s="21">
        <v>984</v>
      </c>
      <c r="N12" s="23">
        <v>45506</v>
      </c>
      <c r="O12" s="30" t="s">
        <v>63</v>
      </c>
      <c r="R12" s="17"/>
    </row>
    <row r="13" spans="1:18" s="24" customFormat="1" ht="24.95" customHeight="1">
      <c r="A13" s="17">
        <v>11</v>
      </c>
      <c r="B13" s="17">
        <v>7</v>
      </c>
      <c r="C13" s="25" t="s">
        <v>136</v>
      </c>
      <c r="D13" s="19">
        <v>4300.17</v>
      </c>
      <c r="E13" s="19">
        <v>13266.72</v>
      </c>
      <c r="F13" s="20">
        <f>(D13-E13)/E13</f>
        <v>-0.67586788595824743</v>
      </c>
      <c r="G13" s="21">
        <v>662</v>
      </c>
      <c r="H13" s="21">
        <v>36</v>
      </c>
      <c r="I13" s="22">
        <f t="shared" si="0"/>
        <v>18.388888888888889</v>
      </c>
      <c r="J13" s="22">
        <v>5</v>
      </c>
      <c r="K13" s="22">
        <v>6</v>
      </c>
      <c r="L13" s="19">
        <v>172825.01</v>
      </c>
      <c r="M13" s="21">
        <v>24444</v>
      </c>
      <c r="N13" s="23">
        <v>45471</v>
      </c>
      <c r="O13" s="53" t="s">
        <v>62</v>
      </c>
      <c r="R13" s="17"/>
    </row>
    <row r="14" spans="1:18" s="24" customFormat="1" ht="24.95" customHeight="1">
      <c r="A14" s="17">
        <v>12</v>
      </c>
      <c r="B14" s="22" t="s">
        <v>23</v>
      </c>
      <c r="C14" s="18" t="s">
        <v>192</v>
      </c>
      <c r="D14" s="19">
        <v>2636.4</v>
      </c>
      <c r="E14" s="19" t="s">
        <v>15</v>
      </c>
      <c r="F14" s="20" t="s">
        <v>15</v>
      </c>
      <c r="G14" s="21">
        <v>409</v>
      </c>
      <c r="H14" s="21">
        <v>11</v>
      </c>
      <c r="I14" s="22">
        <f t="shared" si="0"/>
        <v>37.18181818181818</v>
      </c>
      <c r="J14" s="22">
        <v>10</v>
      </c>
      <c r="K14" s="22">
        <v>0</v>
      </c>
      <c r="L14" s="19">
        <v>2636.4</v>
      </c>
      <c r="M14" s="21">
        <v>409</v>
      </c>
      <c r="N14" s="23" t="s">
        <v>24</v>
      </c>
      <c r="O14" s="30" t="s">
        <v>11</v>
      </c>
      <c r="R14" s="17"/>
    </row>
    <row r="15" spans="1:18" s="24" customFormat="1" ht="24.95" customHeight="1">
      <c r="A15" s="17">
        <v>13</v>
      </c>
      <c r="B15" s="17">
        <v>9</v>
      </c>
      <c r="C15" s="18" t="s">
        <v>147</v>
      </c>
      <c r="D15" s="19">
        <v>2387.34</v>
      </c>
      <c r="E15" s="19">
        <v>4387.21</v>
      </c>
      <c r="F15" s="20">
        <f>(D15-E15)/E15</f>
        <v>-0.45584095586944773</v>
      </c>
      <c r="G15" s="21">
        <v>377</v>
      </c>
      <c r="H15" s="21">
        <v>17</v>
      </c>
      <c r="I15" s="22">
        <f t="shared" si="0"/>
        <v>22.176470588235293</v>
      </c>
      <c r="J15" s="22">
        <v>5</v>
      </c>
      <c r="K15" s="22">
        <v>5</v>
      </c>
      <c r="L15" s="19">
        <v>48037.53</v>
      </c>
      <c r="M15" s="21">
        <v>7171</v>
      </c>
      <c r="N15" s="23">
        <v>45478</v>
      </c>
      <c r="O15" s="30" t="s">
        <v>18</v>
      </c>
      <c r="R15" s="17"/>
    </row>
    <row r="16" spans="1:18" s="24" customFormat="1" ht="24.95" customHeight="1">
      <c r="A16" s="17">
        <v>14</v>
      </c>
      <c r="B16" s="22" t="s">
        <v>23</v>
      </c>
      <c r="C16" s="18" t="s">
        <v>193</v>
      </c>
      <c r="D16" s="19">
        <v>1705.63</v>
      </c>
      <c r="E16" s="19" t="s">
        <v>15</v>
      </c>
      <c r="F16" s="20" t="s">
        <v>15</v>
      </c>
      <c r="G16" s="21">
        <v>335</v>
      </c>
      <c r="H16" s="21">
        <v>9</v>
      </c>
      <c r="I16" s="22">
        <f t="shared" si="0"/>
        <v>37.222222222222221</v>
      </c>
      <c r="J16" s="22">
        <v>9</v>
      </c>
      <c r="K16" s="22">
        <v>0</v>
      </c>
      <c r="L16" s="19">
        <v>1705.63</v>
      </c>
      <c r="M16" s="21">
        <v>335</v>
      </c>
      <c r="N16" s="23" t="s">
        <v>24</v>
      </c>
      <c r="O16" s="30" t="s">
        <v>11</v>
      </c>
      <c r="R16" s="17"/>
    </row>
    <row r="17" spans="1:19" s="24" customFormat="1" ht="24.95" customHeight="1">
      <c r="A17" s="17">
        <v>15</v>
      </c>
      <c r="B17" s="22" t="s">
        <v>15</v>
      </c>
      <c r="C17" s="7" t="s">
        <v>134</v>
      </c>
      <c r="D17" s="8">
        <v>652</v>
      </c>
      <c r="E17" s="19" t="s">
        <v>15</v>
      </c>
      <c r="F17" s="9" t="s">
        <v>15</v>
      </c>
      <c r="G17" s="10">
        <v>302</v>
      </c>
      <c r="H17" s="10">
        <v>28</v>
      </c>
      <c r="I17" s="22">
        <f t="shared" si="0"/>
        <v>10.785714285714286</v>
      </c>
      <c r="J17" s="11">
        <v>4</v>
      </c>
      <c r="K17" s="11" t="s">
        <v>15</v>
      </c>
      <c r="L17" s="19">
        <v>207849.96</v>
      </c>
      <c r="M17" s="21">
        <v>42521</v>
      </c>
      <c r="N17" s="12">
        <v>45121</v>
      </c>
      <c r="O17" s="31" t="s">
        <v>11</v>
      </c>
      <c r="R17" s="17"/>
    </row>
    <row r="18" spans="1:19" s="24" customFormat="1" ht="24.95" customHeight="1">
      <c r="A18" s="17">
        <v>16</v>
      </c>
      <c r="B18" s="22" t="s">
        <v>15</v>
      </c>
      <c r="C18" s="18" t="s">
        <v>104</v>
      </c>
      <c r="D18" s="19">
        <v>597</v>
      </c>
      <c r="E18" s="19" t="s">
        <v>15</v>
      </c>
      <c r="F18" s="9" t="s">
        <v>15</v>
      </c>
      <c r="G18" s="21">
        <v>245</v>
      </c>
      <c r="H18" s="21">
        <v>28</v>
      </c>
      <c r="I18" s="22">
        <f t="shared" si="0"/>
        <v>8.75</v>
      </c>
      <c r="J18" s="22">
        <v>4</v>
      </c>
      <c r="K18" s="19" t="s">
        <v>15</v>
      </c>
      <c r="L18" s="19">
        <v>138147.37</v>
      </c>
      <c r="M18" s="21">
        <v>26703</v>
      </c>
      <c r="N18" s="23">
        <v>45331</v>
      </c>
      <c r="O18" s="30" t="s">
        <v>11</v>
      </c>
      <c r="R18" s="17"/>
    </row>
    <row r="19" spans="1:19" s="24" customFormat="1" ht="24.95" customHeight="1">
      <c r="A19" s="17">
        <v>17</v>
      </c>
      <c r="B19" s="17">
        <v>13</v>
      </c>
      <c r="C19" s="25" t="s">
        <v>174</v>
      </c>
      <c r="D19" s="19">
        <v>481.4</v>
      </c>
      <c r="E19" s="19">
        <v>1855.6</v>
      </c>
      <c r="F19" s="20">
        <f>(D19-E19)/E19</f>
        <v>-0.74056908816555289</v>
      </c>
      <c r="G19" s="21">
        <v>67</v>
      </c>
      <c r="H19" s="21">
        <v>9</v>
      </c>
      <c r="I19" s="22">
        <f t="shared" si="0"/>
        <v>7.4444444444444446</v>
      </c>
      <c r="J19" s="22">
        <v>2</v>
      </c>
      <c r="K19" s="22">
        <v>3</v>
      </c>
      <c r="L19" s="19">
        <v>4040.8</v>
      </c>
      <c r="M19" s="21">
        <v>638</v>
      </c>
      <c r="N19" s="23">
        <v>45492</v>
      </c>
      <c r="O19" s="53" t="s">
        <v>116</v>
      </c>
      <c r="R19" s="17"/>
    </row>
    <row r="20" spans="1:19" s="24" customFormat="1" ht="24.95" customHeight="1">
      <c r="A20" s="17">
        <v>18</v>
      </c>
      <c r="B20" s="19" t="s">
        <v>15</v>
      </c>
      <c r="C20" s="25" t="s">
        <v>194</v>
      </c>
      <c r="D20" s="19">
        <v>360</v>
      </c>
      <c r="E20" s="19" t="s">
        <v>15</v>
      </c>
      <c r="F20" s="20" t="s">
        <v>15</v>
      </c>
      <c r="G20" s="21">
        <v>52</v>
      </c>
      <c r="H20" s="17">
        <v>1</v>
      </c>
      <c r="I20" s="22">
        <f t="shared" si="0"/>
        <v>52</v>
      </c>
      <c r="J20" s="17">
        <v>1</v>
      </c>
      <c r="K20" s="22" t="s">
        <v>15</v>
      </c>
      <c r="L20" s="19">
        <v>4116.3099999999995</v>
      </c>
      <c r="M20" s="21">
        <v>749</v>
      </c>
      <c r="N20" s="23">
        <v>45338</v>
      </c>
      <c r="O20" s="53" t="s">
        <v>82</v>
      </c>
      <c r="R20" s="17"/>
    </row>
    <row r="21" spans="1:19" s="24" customFormat="1" ht="24.95" customHeight="1">
      <c r="A21" s="17">
        <v>19</v>
      </c>
      <c r="B21" s="17">
        <v>14</v>
      </c>
      <c r="C21" s="18" t="s">
        <v>27</v>
      </c>
      <c r="D21" s="19">
        <v>285.3</v>
      </c>
      <c r="E21" s="19">
        <v>1766.92</v>
      </c>
      <c r="F21" s="20">
        <f>(D21-E21)/E21</f>
        <v>-0.83853258777986561</v>
      </c>
      <c r="G21" s="21">
        <v>59</v>
      </c>
      <c r="H21" s="21">
        <v>8</v>
      </c>
      <c r="I21" s="22">
        <f t="shared" si="0"/>
        <v>7.375</v>
      </c>
      <c r="J21" s="22">
        <v>2</v>
      </c>
      <c r="K21" s="22">
        <v>11</v>
      </c>
      <c r="L21" s="19">
        <v>531061.11</v>
      </c>
      <c r="M21" s="21">
        <v>98428</v>
      </c>
      <c r="N21" s="23">
        <v>45436</v>
      </c>
      <c r="O21" s="30" t="s">
        <v>61</v>
      </c>
      <c r="R21" s="17"/>
    </row>
    <row r="22" spans="1:19" s="24" customFormat="1" ht="24.75" customHeight="1">
      <c r="A22" s="17">
        <v>20</v>
      </c>
      <c r="B22" s="17">
        <v>8</v>
      </c>
      <c r="C22" s="18" t="s">
        <v>188</v>
      </c>
      <c r="D22" s="19">
        <v>277</v>
      </c>
      <c r="E22" s="19">
        <v>4412</v>
      </c>
      <c r="F22" s="20">
        <f>(D22-E22)/E22</f>
        <v>-0.93721668177697193</v>
      </c>
      <c r="G22" s="21">
        <v>55</v>
      </c>
      <c r="H22" s="20" t="s">
        <v>15</v>
      </c>
      <c r="I22" s="20" t="s">
        <v>15</v>
      </c>
      <c r="J22" s="17">
        <v>5</v>
      </c>
      <c r="K22" s="22">
        <v>2</v>
      </c>
      <c r="L22" s="19">
        <v>5408</v>
      </c>
      <c r="M22" s="21">
        <v>860</v>
      </c>
      <c r="N22" s="23">
        <v>45499</v>
      </c>
      <c r="O22" s="30" t="s">
        <v>13</v>
      </c>
      <c r="R22" s="17"/>
    </row>
    <row r="23" spans="1:19" s="27" customFormat="1" ht="24.75" customHeight="1">
      <c r="A23" s="17">
        <v>21</v>
      </c>
      <c r="B23" s="22" t="s">
        <v>15</v>
      </c>
      <c r="C23" s="18" t="s">
        <v>93</v>
      </c>
      <c r="D23" s="19">
        <v>255.99999999999989</v>
      </c>
      <c r="E23" s="19" t="s">
        <v>15</v>
      </c>
      <c r="F23" s="20" t="s">
        <v>15</v>
      </c>
      <c r="G23" s="21">
        <v>54</v>
      </c>
      <c r="H23" s="21">
        <v>2</v>
      </c>
      <c r="I23" s="22">
        <f>G23/H23</f>
        <v>27</v>
      </c>
      <c r="J23" s="22">
        <v>1</v>
      </c>
      <c r="K23" s="22" t="s">
        <v>15</v>
      </c>
      <c r="L23" s="19">
        <v>5748.59</v>
      </c>
      <c r="M23" s="21">
        <v>1002</v>
      </c>
      <c r="N23" s="23">
        <v>45450</v>
      </c>
      <c r="O23" s="30" t="s">
        <v>82</v>
      </c>
      <c r="R23" s="17"/>
      <c r="S23" s="24"/>
    </row>
    <row r="24" spans="1:19" s="27" customFormat="1" ht="24.95" customHeight="1">
      <c r="A24" s="17">
        <v>22</v>
      </c>
      <c r="B24" s="17">
        <v>22</v>
      </c>
      <c r="C24" s="18" t="s">
        <v>153</v>
      </c>
      <c r="D24" s="19">
        <v>213</v>
      </c>
      <c r="E24" s="19">
        <v>355</v>
      </c>
      <c r="F24" s="20">
        <f>(D24-E24)/E24</f>
        <v>-0.4</v>
      </c>
      <c r="G24" s="21">
        <v>28</v>
      </c>
      <c r="H24" s="22" t="s">
        <v>15</v>
      </c>
      <c r="I24" s="22" t="s">
        <v>15</v>
      </c>
      <c r="J24" s="22">
        <v>1</v>
      </c>
      <c r="K24" s="22">
        <v>5</v>
      </c>
      <c r="L24" s="19">
        <v>32408</v>
      </c>
      <c r="M24" s="21">
        <v>4738</v>
      </c>
      <c r="N24" s="23">
        <v>45478</v>
      </c>
      <c r="O24" s="30" t="s">
        <v>13</v>
      </c>
      <c r="R24" s="17"/>
      <c r="S24" s="24"/>
    </row>
    <row r="25" spans="1:19" s="27" customFormat="1" ht="24.75" customHeight="1">
      <c r="A25" s="17">
        <v>23</v>
      </c>
      <c r="B25" s="22" t="s">
        <v>15</v>
      </c>
      <c r="C25" s="18" t="s">
        <v>148</v>
      </c>
      <c r="D25" s="19">
        <v>196</v>
      </c>
      <c r="E25" s="19" t="s">
        <v>15</v>
      </c>
      <c r="F25" s="9" t="s">
        <v>15</v>
      </c>
      <c r="G25" s="21">
        <v>49</v>
      </c>
      <c r="H25" s="21">
        <v>2</v>
      </c>
      <c r="I25" s="22">
        <f>G25/H25</f>
        <v>24.5</v>
      </c>
      <c r="J25" s="22">
        <v>1</v>
      </c>
      <c r="K25" s="19" t="s">
        <v>15</v>
      </c>
      <c r="L25" s="19">
        <v>5068.1400000000003</v>
      </c>
      <c r="M25" s="21">
        <v>870</v>
      </c>
      <c r="N25" s="23">
        <v>45471</v>
      </c>
      <c r="O25" s="30" t="s">
        <v>82</v>
      </c>
    </row>
    <row r="26" spans="1:19" s="27" customFormat="1" ht="24.75" customHeight="1">
      <c r="A26" s="17">
        <v>24</v>
      </c>
      <c r="B26" s="17">
        <v>16</v>
      </c>
      <c r="C26" s="25" t="s">
        <v>154</v>
      </c>
      <c r="D26" s="19">
        <v>173</v>
      </c>
      <c r="E26" s="19">
        <v>1613.95</v>
      </c>
      <c r="F26" s="20">
        <f>(D26-E26)/E26</f>
        <v>-0.8928095665912823</v>
      </c>
      <c r="G26" s="21">
        <v>33</v>
      </c>
      <c r="H26" s="21">
        <v>5</v>
      </c>
      <c r="I26" s="22">
        <f t="shared" ref="I26:I29" si="1">G26/H26</f>
        <v>6.6</v>
      </c>
      <c r="J26" s="22">
        <v>3</v>
      </c>
      <c r="K26" s="22">
        <v>4</v>
      </c>
      <c r="L26" s="19">
        <v>21990.720000000001</v>
      </c>
      <c r="M26" s="21">
        <v>3404</v>
      </c>
      <c r="N26" s="23">
        <v>45485</v>
      </c>
      <c r="O26" s="53" t="s">
        <v>63</v>
      </c>
    </row>
    <row r="27" spans="1:19" s="27" customFormat="1" ht="24.75" customHeight="1">
      <c r="A27" s="17">
        <v>25</v>
      </c>
      <c r="B27" s="17">
        <v>25</v>
      </c>
      <c r="C27" s="18" t="s">
        <v>120</v>
      </c>
      <c r="D27" s="19">
        <v>171.4</v>
      </c>
      <c r="E27" s="19">
        <v>199.6</v>
      </c>
      <c r="F27" s="20">
        <f>(D27-E27)/E27</f>
        <v>-0.14128256513026047</v>
      </c>
      <c r="G27" s="21">
        <v>27</v>
      </c>
      <c r="H27" s="21">
        <v>4</v>
      </c>
      <c r="I27" s="22">
        <f t="shared" si="1"/>
        <v>6.75</v>
      </c>
      <c r="J27" s="22">
        <v>2</v>
      </c>
      <c r="K27" s="22">
        <v>8</v>
      </c>
      <c r="L27" s="19">
        <v>21786.330000000005</v>
      </c>
      <c r="M27" s="21">
        <v>3468</v>
      </c>
      <c r="N27" s="23">
        <v>45464</v>
      </c>
      <c r="O27" s="30" t="s">
        <v>14</v>
      </c>
    </row>
    <row r="28" spans="1:19" s="27" customFormat="1" ht="24.75" customHeight="1">
      <c r="A28" s="17">
        <v>26</v>
      </c>
      <c r="B28" s="17">
        <v>27</v>
      </c>
      <c r="C28" s="18" t="s">
        <v>143</v>
      </c>
      <c r="D28" s="19">
        <v>160</v>
      </c>
      <c r="E28" s="19">
        <v>173</v>
      </c>
      <c r="F28" s="20">
        <f>(D28-E28)/E28</f>
        <v>-7.5144508670520235E-2</v>
      </c>
      <c r="G28" s="21">
        <v>29</v>
      </c>
      <c r="H28" s="22" t="s">
        <v>15</v>
      </c>
      <c r="I28" s="22" t="s">
        <v>15</v>
      </c>
      <c r="J28" s="22">
        <v>2</v>
      </c>
      <c r="K28" s="22">
        <v>6</v>
      </c>
      <c r="L28" s="19">
        <v>18242</v>
      </c>
      <c r="M28" s="21">
        <v>2889</v>
      </c>
      <c r="N28" s="23">
        <v>45471</v>
      </c>
      <c r="O28" s="30" t="s">
        <v>13</v>
      </c>
    </row>
    <row r="29" spans="1:19" s="24" customFormat="1" ht="24.95" customHeight="1">
      <c r="A29" s="17">
        <v>27</v>
      </c>
      <c r="B29" s="17">
        <v>21</v>
      </c>
      <c r="C29" s="25" t="s">
        <v>84</v>
      </c>
      <c r="D29" s="28">
        <v>119.20000000000005</v>
      </c>
      <c r="E29" s="28">
        <v>397</v>
      </c>
      <c r="F29" s="20">
        <v>-0.42480790340285396</v>
      </c>
      <c r="G29" s="29">
        <v>15</v>
      </c>
      <c r="H29" s="21">
        <v>2</v>
      </c>
      <c r="I29" s="22">
        <f t="shared" si="1"/>
        <v>7.5</v>
      </c>
      <c r="J29" s="22">
        <v>1</v>
      </c>
      <c r="K29" s="19" t="s">
        <v>15</v>
      </c>
      <c r="L29" s="28">
        <v>12350.449999999999</v>
      </c>
      <c r="M29" s="29">
        <v>1974</v>
      </c>
      <c r="N29" s="23">
        <v>45408</v>
      </c>
      <c r="O29" s="53" t="s">
        <v>82</v>
      </c>
      <c r="R29" s="17"/>
    </row>
    <row r="30" spans="1:19" s="24" customFormat="1" ht="24.95" customHeight="1">
      <c r="A30" s="17">
        <v>28</v>
      </c>
      <c r="B30" s="17">
        <v>12</v>
      </c>
      <c r="C30" s="25" t="s">
        <v>176</v>
      </c>
      <c r="D30" s="19">
        <v>83</v>
      </c>
      <c r="E30" s="19">
        <v>2453</v>
      </c>
      <c r="F30" s="20">
        <f>(D30-E30)/E30</f>
        <v>-0.96616388096208727</v>
      </c>
      <c r="G30" s="21">
        <v>23</v>
      </c>
      <c r="H30" s="22" t="s">
        <v>15</v>
      </c>
      <c r="I30" s="22" t="s">
        <v>15</v>
      </c>
      <c r="J30" s="22">
        <v>2</v>
      </c>
      <c r="K30" s="22">
        <v>3</v>
      </c>
      <c r="L30" s="19">
        <v>10637</v>
      </c>
      <c r="M30" s="21">
        <v>2290</v>
      </c>
      <c r="N30" s="23">
        <v>45492</v>
      </c>
      <c r="O30" s="53" t="s">
        <v>13</v>
      </c>
      <c r="R30" s="17"/>
    </row>
    <row r="31" spans="1:19" s="24" customFormat="1" ht="24.95" customHeight="1">
      <c r="A31" s="17">
        <v>29</v>
      </c>
      <c r="B31" s="17">
        <v>28</v>
      </c>
      <c r="C31" s="18" t="s">
        <v>38</v>
      </c>
      <c r="D31" s="28">
        <v>56</v>
      </c>
      <c r="E31" s="28">
        <v>162.4</v>
      </c>
      <c r="F31" s="20">
        <f>(D31-E31)/E31</f>
        <v>-0.65517241379310343</v>
      </c>
      <c r="G31" s="29">
        <v>7</v>
      </c>
      <c r="H31" s="21">
        <v>3</v>
      </c>
      <c r="I31" s="22">
        <f>G31/H31</f>
        <v>2.3333333333333335</v>
      </c>
      <c r="J31" s="22">
        <v>2</v>
      </c>
      <c r="K31" s="22" t="s">
        <v>15</v>
      </c>
      <c r="L31" s="28">
        <v>5783.11</v>
      </c>
      <c r="M31" s="29">
        <v>965</v>
      </c>
      <c r="N31" s="23">
        <v>45443</v>
      </c>
      <c r="O31" s="30" t="s">
        <v>64</v>
      </c>
      <c r="R31" s="17"/>
    </row>
    <row r="32" spans="1:19" s="24" customFormat="1" ht="24.95" customHeight="1">
      <c r="A32" s="17">
        <v>30</v>
      </c>
      <c r="B32" s="17">
        <v>11</v>
      </c>
      <c r="C32" s="18" t="s">
        <v>164</v>
      </c>
      <c r="D32" s="19">
        <v>51</v>
      </c>
      <c r="E32" s="19">
        <v>2941.27</v>
      </c>
      <c r="F32" s="20">
        <f>(D32-E32)/E32</f>
        <v>-0.98266055139446562</v>
      </c>
      <c r="G32" s="21">
        <v>9</v>
      </c>
      <c r="H32" s="21">
        <v>2</v>
      </c>
      <c r="I32" s="22">
        <v>15.865168539325843</v>
      </c>
      <c r="J32" s="22">
        <v>2</v>
      </c>
      <c r="K32" s="22">
        <v>4</v>
      </c>
      <c r="L32" s="19">
        <v>36842.239999999998</v>
      </c>
      <c r="M32" s="21">
        <v>6030</v>
      </c>
      <c r="N32" s="23">
        <v>45485</v>
      </c>
      <c r="O32" s="30" t="s">
        <v>61</v>
      </c>
      <c r="R32" s="17"/>
    </row>
    <row r="33" spans="1:18" s="24" customFormat="1" ht="24.95" customHeight="1">
      <c r="A33" s="17">
        <v>31</v>
      </c>
      <c r="B33" s="17">
        <v>30</v>
      </c>
      <c r="C33" s="18" t="s">
        <v>163</v>
      </c>
      <c r="D33" s="19">
        <v>49</v>
      </c>
      <c r="E33" s="19">
        <v>90</v>
      </c>
      <c r="F33" s="20">
        <f>(D33-E33)/E33</f>
        <v>-0.45555555555555555</v>
      </c>
      <c r="G33" s="21">
        <v>9</v>
      </c>
      <c r="H33" s="22" t="s">
        <v>15</v>
      </c>
      <c r="I33" s="22" t="s">
        <v>15</v>
      </c>
      <c r="J33" s="22">
        <v>1</v>
      </c>
      <c r="K33" s="22">
        <v>4</v>
      </c>
      <c r="L33" s="19">
        <v>1633</v>
      </c>
      <c r="M33" s="21">
        <v>300</v>
      </c>
      <c r="N33" s="23">
        <v>45485</v>
      </c>
      <c r="O33" s="30" t="s">
        <v>13</v>
      </c>
      <c r="R33" s="17"/>
    </row>
    <row r="34" spans="1:18" s="24" customFormat="1" ht="24.95" customHeight="1">
      <c r="A34" s="17">
        <v>32</v>
      </c>
      <c r="B34" s="17">
        <v>32</v>
      </c>
      <c r="C34" s="18" t="s">
        <v>46</v>
      </c>
      <c r="D34" s="19">
        <v>40</v>
      </c>
      <c r="E34" s="19">
        <v>44.4</v>
      </c>
      <c r="F34" s="20">
        <v>-0.39748201438848924</v>
      </c>
      <c r="G34" s="21">
        <v>5</v>
      </c>
      <c r="H34" s="22">
        <v>1</v>
      </c>
      <c r="I34" s="22">
        <v>5</v>
      </c>
      <c r="J34" s="17">
        <v>1</v>
      </c>
      <c r="K34" s="22">
        <v>20</v>
      </c>
      <c r="L34" s="19">
        <v>68325.899999999994</v>
      </c>
      <c r="M34" s="21">
        <v>10554</v>
      </c>
      <c r="N34" s="23">
        <v>45379</v>
      </c>
      <c r="O34" s="30" t="s">
        <v>25</v>
      </c>
      <c r="R34" s="17"/>
    </row>
    <row r="35" spans="1:18" s="24" customFormat="1" ht="24.95" customHeight="1">
      <c r="A35" s="17">
        <v>33</v>
      </c>
      <c r="B35" s="17">
        <v>26</v>
      </c>
      <c r="C35" s="18" t="s">
        <v>131</v>
      </c>
      <c r="D35" s="19">
        <v>38</v>
      </c>
      <c r="E35" s="19">
        <v>193</v>
      </c>
      <c r="F35" s="20">
        <f>(D35-E35)/E35</f>
        <v>-0.80310880829015541</v>
      </c>
      <c r="G35" s="21">
        <v>8</v>
      </c>
      <c r="H35" s="21">
        <v>1</v>
      </c>
      <c r="I35" s="22">
        <v>3.7151898734177213</v>
      </c>
      <c r="J35" s="22">
        <v>1</v>
      </c>
      <c r="K35" s="22">
        <v>6</v>
      </c>
      <c r="L35" s="19">
        <v>4690.55</v>
      </c>
      <c r="M35" s="21">
        <v>788</v>
      </c>
      <c r="N35" s="23">
        <v>45471</v>
      </c>
      <c r="O35" s="30" t="s">
        <v>11</v>
      </c>
      <c r="R35" s="17"/>
    </row>
    <row r="36" spans="1:18" s="24" customFormat="1" ht="24.95" customHeight="1">
      <c r="A36" s="17">
        <v>34</v>
      </c>
      <c r="B36" s="19" t="s">
        <v>15</v>
      </c>
      <c r="C36" s="18" t="s">
        <v>40</v>
      </c>
      <c r="D36" s="19">
        <v>20.399999999999999</v>
      </c>
      <c r="E36" s="19" t="s">
        <v>15</v>
      </c>
      <c r="F36" s="20" t="s">
        <v>15</v>
      </c>
      <c r="G36" s="21">
        <v>3</v>
      </c>
      <c r="H36" s="22">
        <v>1</v>
      </c>
      <c r="I36" s="22">
        <f>G36/H36</f>
        <v>3</v>
      </c>
      <c r="J36" s="17">
        <v>1</v>
      </c>
      <c r="K36" s="22" t="s">
        <v>15</v>
      </c>
      <c r="L36" s="19">
        <v>7620.06</v>
      </c>
      <c r="M36" s="21">
        <v>1370</v>
      </c>
      <c r="N36" s="23">
        <v>45429</v>
      </c>
      <c r="O36" s="30" t="s">
        <v>25</v>
      </c>
      <c r="R36" s="17"/>
    </row>
    <row r="37" spans="1:18" s="24" customFormat="1" ht="24.95" customHeight="1">
      <c r="A37" s="17">
        <v>35</v>
      </c>
      <c r="B37" s="17">
        <v>34</v>
      </c>
      <c r="C37" s="25" t="s">
        <v>73</v>
      </c>
      <c r="D37" s="19">
        <v>15</v>
      </c>
      <c r="E37" s="19">
        <v>30</v>
      </c>
      <c r="F37" s="20">
        <f>(D37-E37)/E37</f>
        <v>-0.5</v>
      </c>
      <c r="G37" s="21">
        <v>5</v>
      </c>
      <c r="H37" s="21">
        <v>3</v>
      </c>
      <c r="I37" s="22">
        <f>G37/H37</f>
        <v>1.6666666666666667</v>
      </c>
      <c r="J37" s="22">
        <v>1</v>
      </c>
      <c r="K37" s="20" t="s">
        <v>15</v>
      </c>
      <c r="L37" s="19">
        <v>1835.3</v>
      </c>
      <c r="M37" s="21">
        <v>551</v>
      </c>
      <c r="N37" s="23">
        <v>45443</v>
      </c>
      <c r="O37" s="53" t="s">
        <v>68</v>
      </c>
      <c r="R37" s="17"/>
    </row>
    <row r="38" spans="1:18" s="24" customFormat="1" ht="24.95" customHeight="1">
      <c r="A38" s="17">
        <v>36</v>
      </c>
      <c r="B38" s="17">
        <v>35</v>
      </c>
      <c r="C38" s="18" t="s">
        <v>115</v>
      </c>
      <c r="D38" s="19">
        <v>9</v>
      </c>
      <c r="E38" s="19">
        <v>13</v>
      </c>
      <c r="F38" s="20">
        <f>(D38-E38)/E38</f>
        <v>-0.30769230769230771</v>
      </c>
      <c r="G38" s="21">
        <v>3</v>
      </c>
      <c r="H38" s="21">
        <v>3</v>
      </c>
      <c r="I38" s="22">
        <f>G38/H38</f>
        <v>1</v>
      </c>
      <c r="J38" s="22">
        <v>1</v>
      </c>
      <c r="K38" s="22">
        <v>8</v>
      </c>
      <c r="L38" s="19">
        <v>2378.58</v>
      </c>
      <c r="M38" s="21">
        <v>414</v>
      </c>
      <c r="N38" s="23">
        <v>45457</v>
      </c>
      <c r="O38" s="30" t="s">
        <v>116</v>
      </c>
      <c r="R38" s="17"/>
    </row>
    <row r="39" spans="1:18" s="24" customFormat="1" ht="24.95" customHeight="1">
      <c r="A39" s="17">
        <v>37</v>
      </c>
      <c r="B39" s="17">
        <v>29</v>
      </c>
      <c r="C39" s="25" t="s">
        <v>149</v>
      </c>
      <c r="D39" s="19">
        <v>8</v>
      </c>
      <c r="E39" s="19">
        <v>91.6</v>
      </c>
      <c r="F39" s="20">
        <v>-0.42480790340285396</v>
      </c>
      <c r="G39" s="21">
        <v>1</v>
      </c>
      <c r="H39" s="17">
        <v>1</v>
      </c>
      <c r="I39" s="22">
        <v>1</v>
      </c>
      <c r="J39" s="17">
        <v>1</v>
      </c>
      <c r="K39" s="19" t="s">
        <v>15</v>
      </c>
      <c r="L39" s="19">
        <v>215537.4</v>
      </c>
      <c r="M39" s="21">
        <v>33349</v>
      </c>
      <c r="N39" s="23">
        <v>45191</v>
      </c>
      <c r="O39" s="53" t="s">
        <v>25</v>
      </c>
      <c r="R39" s="17"/>
    </row>
    <row r="40" spans="1:18" ht="24.75" customHeight="1">
      <c r="A40" s="46"/>
      <c r="B40" s="57" t="s">
        <v>26</v>
      </c>
      <c r="C40" s="48" t="s">
        <v>196</v>
      </c>
      <c r="D40" s="49">
        <f>SUBTOTAL(109,Table132456789101112[Pajamos 
(GBO)])</f>
        <v>438830.44000000006</v>
      </c>
      <c r="E40" s="49">
        <f>SUBTOTAL(109,Table1324567891011[Pajamos 
(GBO)])</f>
        <v>563741.1399999999</v>
      </c>
      <c r="F40" s="50">
        <f t="shared" ref="F40" si="2">(D40-E40)/E40</f>
        <v>-0.22157456878169271</v>
      </c>
      <c r="G40" s="52">
        <f>SUBTOTAL(109,Table132456789101112[Žiūrovų sk. 
(ADM)])</f>
        <v>66613</v>
      </c>
      <c r="H40" s="57"/>
      <c r="I40" s="46"/>
      <c r="J40" s="46"/>
      <c r="K40" s="46"/>
      <c r="L40" s="54"/>
      <c r="M40" s="46"/>
      <c r="N40" s="46"/>
      <c r="O40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4F704-1CC3-401E-8524-048467598BAC}">
  <sheetPr>
    <pageSetUpPr fitToPage="1"/>
  </sheetPr>
  <dimension ref="A1:XFC55"/>
  <sheetViews>
    <sheetView zoomScale="60" zoomScaleNormal="60" workbookViewId="0">
      <selection activeCell="L15" sqref="L15:M15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3" t="s">
        <v>183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17" t="s">
        <v>17</v>
      </c>
      <c r="C3" s="18" t="s">
        <v>178</v>
      </c>
      <c r="D3" s="19">
        <v>240323.4</v>
      </c>
      <c r="E3" s="19">
        <v>85160.84</v>
      </c>
      <c r="F3" s="20">
        <f>(D3-E3)/E3</f>
        <v>1.8219942405453022</v>
      </c>
      <c r="G3" s="21">
        <v>29807</v>
      </c>
      <c r="H3" s="21">
        <v>482</v>
      </c>
      <c r="I3" s="22">
        <f t="shared" ref="I3:I9" si="0">G3/H3</f>
        <v>61.8402489626556</v>
      </c>
      <c r="J3" s="22">
        <v>15</v>
      </c>
      <c r="K3" s="22">
        <v>1</v>
      </c>
      <c r="L3" s="19">
        <v>325484.24</v>
      </c>
      <c r="M3" s="21">
        <v>40398</v>
      </c>
      <c r="N3" s="23">
        <v>45499</v>
      </c>
      <c r="O3" s="30" t="s">
        <v>18</v>
      </c>
    </row>
    <row r="4" spans="1:18" s="24" customFormat="1" ht="24.95" customHeight="1">
      <c r="A4" s="17">
        <v>2</v>
      </c>
      <c r="B4" s="17">
        <v>1</v>
      </c>
      <c r="C4" s="18" t="s">
        <v>146</v>
      </c>
      <c r="D4" s="19">
        <v>133346.70000000001</v>
      </c>
      <c r="E4" s="19">
        <v>137273.79</v>
      </c>
      <c r="F4" s="20">
        <f>(D4-E4)/E4</f>
        <v>-2.8607718924348168E-2</v>
      </c>
      <c r="G4" s="21">
        <v>23386</v>
      </c>
      <c r="H4" s="21">
        <v>458</v>
      </c>
      <c r="I4" s="22">
        <f t="shared" si="0"/>
        <v>51.061135371179041</v>
      </c>
      <c r="J4" s="22">
        <v>21</v>
      </c>
      <c r="K4" s="22">
        <v>4</v>
      </c>
      <c r="L4" s="19">
        <v>847596.88</v>
      </c>
      <c r="M4" s="21">
        <v>145099</v>
      </c>
      <c r="N4" s="23">
        <v>45478</v>
      </c>
      <c r="O4" s="30" t="s">
        <v>63</v>
      </c>
    </row>
    <row r="5" spans="1:18" s="24" customFormat="1" ht="24.95" customHeight="1">
      <c r="A5" s="17">
        <v>3</v>
      </c>
      <c r="B5" s="17">
        <v>3</v>
      </c>
      <c r="C5" s="25" t="s">
        <v>106</v>
      </c>
      <c r="D5" s="19">
        <v>50719.6</v>
      </c>
      <c r="E5" s="19">
        <v>61726.9</v>
      </c>
      <c r="F5" s="20">
        <f>(D5-E5)/E5</f>
        <v>-0.17832257897286277</v>
      </c>
      <c r="G5" s="21">
        <v>9266</v>
      </c>
      <c r="H5" s="21">
        <v>213</v>
      </c>
      <c r="I5" s="22">
        <f t="shared" si="0"/>
        <v>43.502347417840376</v>
      </c>
      <c r="J5" s="22">
        <v>19</v>
      </c>
      <c r="K5" s="22">
        <v>7</v>
      </c>
      <c r="L5" s="19">
        <v>1128682.24</v>
      </c>
      <c r="M5" s="21">
        <v>193078</v>
      </c>
      <c r="N5" s="23">
        <v>45457</v>
      </c>
      <c r="O5" s="30" t="s">
        <v>18</v>
      </c>
      <c r="R5" s="17"/>
    </row>
    <row r="6" spans="1:18" s="24" customFormat="1" ht="24.95" customHeight="1">
      <c r="A6" s="17">
        <v>4</v>
      </c>
      <c r="B6" s="17">
        <v>4</v>
      </c>
      <c r="C6" s="18" t="s">
        <v>165</v>
      </c>
      <c r="D6" s="19">
        <v>43554.239999999998</v>
      </c>
      <c r="E6" s="19">
        <v>55135.040000000001</v>
      </c>
      <c r="F6" s="20">
        <f>(D6-E6)/E6</f>
        <v>-0.21004428399798028</v>
      </c>
      <c r="G6" s="21">
        <v>6194</v>
      </c>
      <c r="H6" s="21">
        <v>213</v>
      </c>
      <c r="I6" s="22">
        <f t="shared" si="0"/>
        <v>29.079812206572768</v>
      </c>
      <c r="J6" s="22">
        <v>14</v>
      </c>
      <c r="K6" s="22">
        <v>2</v>
      </c>
      <c r="L6" s="19">
        <v>101612.28</v>
      </c>
      <c r="M6" s="21">
        <v>14556</v>
      </c>
      <c r="N6" s="23" t="s">
        <v>177</v>
      </c>
      <c r="O6" s="30" t="s">
        <v>66</v>
      </c>
      <c r="R6" s="17"/>
    </row>
    <row r="7" spans="1:18" s="24" customFormat="1" ht="24.95" customHeight="1">
      <c r="A7" s="17">
        <v>5</v>
      </c>
      <c r="B7" s="17">
        <v>5</v>
      </c>
      <c r="C7" s="18" t="s">
        <v>166</v>
      </c>
      <c r="D7" s="19">
        <v>29947.77</v>
      </c>
      <c r="E7" s="19">
        <v>37146.97</v>
      </c>
      <c r="F7" s="20">
        <f>(D7-E7)/E7</f>
        <v>-0.19380315541213727</v>
      </c>
      <c r="G7" s="21">
        <v>4516</v>
      </c>
      <c r="H7" s="21">
        <v>166</v>
      </c>
      <c r="I7" s="22">
        <f t="shared" si="0"/>
        <v>27.204819277108435</v>
      </c>
      <c r="J7" s="22">
        <v>12</v>
      </c>
      <c r="K7" s="22">
        <v>2</v>
      </c>
      <c r="L7" s="19">
        <v>69652.5</v>
      </c>
      <c r="M7" s="21">
        <v>9795</v>
      </c>
      <c r="N7" s="23" t="s">
        <v>177</v>
      </c>
      <c r="O7" s="30" t="s">
        <v>66</v>
      </c>
      <c r="R7" s="17"/>
    </row>
    <row r="8" spans="1:18" s="24" customFormat="1" ht="24.95" customHeight="1">
      <c r="A8" s="17">
        <v>6</v>
      </c>
      <c r="B8" s="22" t="s">
        <v>17</v>
      </c>
      <c r="C8" s="18" t="s">
        <v>185</v>
      </c>
      <c r="D8" s="19">
        <v>22906.400000000001</v>
      </c>
      <c r="E8" s="20" t="s">
        <v>15</v>
      </c>
      <c r="F8" s="20" t="s">
        <v>15</v>
      </c>
      <c r="G8" s="21">
        <v>4458</v>
      </c>
      <c r="H8" s="22">
        <v>216</v>
      </c>
      <c r="I8" s="22">
        <f t="shared" si="0"/>
        <v>20.638888888888889</v>
      </c>
      <c r="J8" s="17">
        <v>16</v>
      </c>
      <c r="K8" s="22">
        <v>1</v>
      </c>
      <c r="L8" s="19">
        <v>22906.400000000001</v>
      </c>
      <c r="M8" s="21">
        <v>4458</v>
      </c>
      <c r="N8" s="23">
        <v>45499</v>
      </c>
      <c r="O8" s="30" t="s">
        <v>14</v>
      </c>
      <c r="R8" s="17"/>
    </row>
    <row r="9" spans="1:18" s="24" customFormat="1" ht="24.95" customHeight="1">
      <c r="A9" s="17">
        <v>7</v>
      </c>
      <c r="B9" s="17">
        <v>6</v>
      </c>
      <c r="C9" s="25" t="s">
        <v>136</v>
      </c>
      <c r="D9" s="19">
        <v>13266.72</v>
      </c>
      <c r="E9" s="19">
        <v>17259.66</v>
      </c>
      <c r="F9" s="20">
        <f>(D9-E9)/E9</f>
        <v>-0.23134522928029871</v>
      </c>
      <c r="G9" s="21">
        <v>1985</v>
      </c>
      <c r="H9" s="21">
        <v>93</v>
      </c>
      <c r="I9" s="22">
        <f t="shared" si="0"/>
        <v>21.344086021505376</v>
      </c>
      <c r="J9" s="22">
        <v>9</v>
      </c>
      <c r="K9" s="22">
        <v>5</v>
      </c>
      <c r="L9" s="19">
        <v>168524.84</v>
      </c>
      <c r="M9" s="21">
        <v>23782</v>
      </c>
      <c r="N9" s="23">
        <v>45471</v>
      </c>
      <c r="O9" s="53" t="s">
        <v>62</v>
      </c>
      <c r="R9" s="17"/>
    </row>
    <row r="10" spans="1:18" s="24" customFormat="1" ht="24.95" customHeight="1">
      <c r="A10" s="17">
        <v>8</v>
      </c>
      <c r="B10" s="22" t="s">
        <v>17</v>
      </c>
      <c r="C10" s="18" t="s">
        <v>188</v>
      </c>
      <c r="D10" s="19">
        <v>4412</v>
      </c>
      <c r="E10" s="20" t="s">
        <v>15</v>
      </c>
      <c r="F10" s="20" t="s">
        <v>15</v>
      </c>
      <c r="G10" s="21">
        <v>687</v>
      </c>
      <c r="H10" s="20" t="s">
        <v>15</v>
      </c>
      <c r="I10" s="20" t="s">
        <v>15</v>
      </c>
      <c r="J10" s="17">
        <v>12</v>
      </c>
      <c r="K10" s="22">
        <v>1</v>
      </c>
      <c r="L10" s="19">
        <v>4412</v>
      </c>
      <c r="M10" s="21">
        <v>687</v>
      </c>
      <c r="N10" s="23">
        <v>45499</v>
      </c>
      <c r="O10" s="30" t="s">
        <v>13</v>
      </c>
      <c r="R10" s="17"/>
    </row>
    <row r="11" spans="1:18" s="24" customFormat="1" ht="24.75" customHeight="1">
      <c r="A11" s="17">
        <v>9</v>
      </c>
      <c r="B11" s="17">
        <v>9</v>
      </c>
      <c r="C11" s="18" t="s">
        <v>147</v>
      </c>
      <c r="D11" s="19">
        <v>4387.21</v>
      </c>
      <c r="E11" s="19">
        <v>6295.85</v>
      </c>
      <c r="F11" s="20">
        <f t="shared" ref="F11:F16" si="1">(D11-E11)/E11</f>
        <v>-0.30315842975928592</v>
      </c>
      <c r="G11" s="21">
        <v>652</v>
      </c>
      <c r="H11" s="21">
        <v>25</v>
      </c>
      <c r="I11" s="22">
        <f>G11/H11</f>
        <v>26.08</v>
      </c>
      <c r="J11" s="22">
        <v>6</v>
      </c>
      <c r="K11" s="22">
        <v>4</v>
      </c>
      <c r="L11" s="19">
        <v>45694.59</v>
      </c>
      <c r="M11" s="21">
        <v>6800</v>
      </c>
      <c r="N11" s="23">
        <v>45478</v>
      </c>
      <c r="O11" s="30" t="s">
        <v>18</v>
      </c>
      <c r="R11" s="17"/>
    </row>
    <row r="12" spans="1:18" s="24" customFormat="1" ht="24.95" customHeight="1">
      <c r="A12" s="17">
        <v>10</v>
      </c>
      <c r="B12" s="17">
        <v>12</v>
      </c>
      <c r="C12" s="18" t="s">
        <v>78</v>
      </c>
      <c r="D12" s="19">
        <v>3124.57</v>
      </c>
      <c r="E12" s="19">
        <v>2741.57</v>
      </c>
      <c r="F12" s="20">
        <f t="shared" si="1"/>
        <v>0.13970097425927477</v>
      </c>
      <c r="G12" s="21">
        <v>434</v>
      </c>
      <c r="H12" s="21">
        <v>12</v>
      </c>
      <c r="I12" s="22">
        <f>G12/H12</f>
        <v>36.166666666666664</v>
      </c>
      <c r="J12" s="22">
        <v>2</v>
      </c>
      <c r="K12" s="22">
        <v>8</v>
      </c>
      <c r="L12" s="19">
        <v>237660.23</v>
      </c>
      <c r="M12" s="21">
        <v>32151</v>
      </c>
      <c r="N12" s="23">
        <v>45450</v>
      </c>
      <c r="O12" s="30" t="s">
        <v>61</v>
      </c>
      <c r="R12" s="17"/>
    </row>
    <row r="13" spans="1:18" s="24" customFormat="1" ht="24.95" customHeight="1">
      <c r="A13" s="17">
        <v>11</v>
      </c>
      <c r="B13" s="17">
        <v>8</v>
      </c>
      <c r="C13" s="18" t="s">
        <v>164</v>
      </c>
      <c r="D13" s="19">
        <v>2941.27</v>
      </c>
      <c r="E13" s="19">
        <v>7820.25</v>
      </c>
      <c r="F13" s="20">
        <f t="shared" si="1"/>
        <v>-0.62389054058374083</v>
      </c>
      <c r="G13" s="21">
        <v>490</v>
      </c>
      <c r="H13" s="21">
        <v>34</v>
      </c>
      <c r="I13" s="22">
        <v>15.865168539325843</v>
      </c>
      <c r="J13" s="22">
        <v>7</v>
      </c>
      <c r="K13" s="22">
        <v>3</v>
      </c>
      <c r="L13" s="19">
        <v>36689.24</v>
      </c>
      <c r="M13" s="21">
        <v>6004</v>
      </c>
      <c r="N13" s="23">
        <v>45485</v>
      </c>
      <c r="O13" s="30" t="s">
        <v>61</v>
      </c>
      <c r="R13" s="17"/>
    </row>
    <row r="14" spans="1:18" s="24" customFormat="1" ht="24.95" customHeight="1">
      <c r="A14" s="17">
        <v>12</v>
      </c>
      <c r="B14" s="17">
        <v>7</v>
      </c>
      <c r="C14" s="25" t="s">
        <v>176</v>
      </c>
      <c r="D14" s="19">
        <v>2453</v>
      </c>
      <c r="E14" s="19">
        <v>8101</v>
      </c>
      <c r="F14" s="20">
        <f t="shared" si="1"/>
        <v>-0.69719787680533263</v>
      </c>
      <c r="G14" s="21">
        <v>524</v>
      </c>
      <c r="H14" s="22" t="s">
        <v>15</v>
      </c>
      <c r="I14" s="22" t="s">
        <v>15</v>
      </c>
      <c r="J14" s="22">
        <v>11</v>
      </c>
      <c r="K14" s="22">
        <v>2</v>
      </c>
      <c r="L14" s="19">
        <v>10554</v>
      </c>
      <c r="M14" s="21">
        <v>2267</v>
      </c>
      <c r="N14" s="23">
        <v>45492</v>
      </c>
      <c r="O14" s="53" t="s">
        <v>13</v>
      </c>
      <c r="R14" s="17"/>
    </row>
    <row r="15" spans="1:18" s="24" customFormat="1" ht="24.95" customHeight="1">
      <c r="A15" s="17">
        <v>13</v>
      </c>
      <c r="B15" s="17">
        <v>14</v>
      </c>
      <c r="C15" s="25" t="s">
        <v>174</v>
      </c>
      <c r="D15" s="19">
        <v>1855.6</v>
      </c>
      <c r="E15" s="19">
        <v>1677.8</v>
      </c>
      <c r="F15" s="20">
        <f t="shared" si="1"/>
        <v>0.10597210632971746</v>
      </c>
      <c r="G15" s="21">
        <v>300</v>
      </c>
      <c r="H15" s="21">
        <v>12</v>
      </c>
      <c r="I15" s="22">
        <f>G15/H15</f>
        <v>25</v>
      </c>
      <c r="J15" s="22">
        <v>6</v>
      </c>
      <c r="K15" s="22">
        <v>2</v>
      </c>
      <c r="L15" s="19">
        <v>3533.4</v>
      </c>
      <c r="M15" s="21">
        <v>565</v>
      </c>
      <c r="N15" s="23">
        <v>45492</v>
      </c>
      <c r="O15" s="53" t="s">
        <v>116</v>
      </c>
      <c r="R15" s="17"/>
    </row>
    <row r="16" spans="1:18" s="24" customFormat="1" ht="24.95" customHeight="1">
      <c r="A16" s="17">
        <v>14</v>
      </c>
      <c r="B16" s="17">
        <v>10</v>
      </c>
      <c r="C16" s="18" t="s">
        <v>27</v>
      </c>
      <c r="D16" s="19">
        <v>1766.92</v>
      </c>
      <c r="E16" s="19">
        <v>5002.34</v>
      </c>
      <c r="F16" s="20">
        <f t="shared" si="1"/>
        <v>-0.64678130634862885</v>
      </c>
      <c r="G16" s="21">
        <v>335</v>
      </c>
      <c r="H16" s="21">
        <v>22</v>
      </c>
      <c r="I16" s="22">
        <f>G16/H16</f>
        <v>15.227272727272727</v>
      </c>
      <c r="J16" s="22">
        <v>4</v>
      </c>
      <c r="K16" s="22">
        <v>10</v>
      </c>
      <c r="L16" s="19">
        <v>530739.81000000006</v>
      </c>
      <c r="M16" s="21">
        <v>98357</v>
      </c>
      <c r="N16" s="23">
        <v>45436</v>
      </c>
      <c r="O16" s="30" t="s">
        <v>61</v>
      </c>
      <c r="R16" s="17"/>
    </row>
    <row r="17" spans="1:19" s="24" customFormat="1" ht="24.95" customHeight="1">
      <c r="A17" s="17">
        <v>15</v>
      </c>
      <c r="B17" s="22" t="s">
        <v>23</v>
      </c>
      <c r="C17" s="18" t="s">
        <v>186</v>
      </c>
      <c r="D17" s="28">
        <v>1708</v>
      </c>
      <c r="E17" s="19" t="s">
        <v>15</v>
      </c>
      <c r="F17" s="20" t="s">
        <v>15</v>
      </c>
      <c r="G17" s="29">
        <v>319</v>
      </c>
      <c r="H17" s="21">
        <v>15</v>
      </c>
      <c r="I17" s="22">
        <f>G17/H17</f>
        <v>21.266666666666666</v>
      </c>
      <c r="J17" s="22">
        <v>9</v>
      </c>
      <c r="K17" s="22">
        <v>0</v>
      </c>
      <c r="L17" s="28">
        <v>1708</v>
      </c>
      <c r="M17" s="29">
        <v>319</v>
      </c>
      <c r="N17" s="23" t="s">
        <v>24</v>
      </c>
      <c r="O17" s="30" t="s">
        <v>61</v>
      </c>
      <c r="R17" s="17"/>
    </row>
    <row r="18" spans="1:19" s="24" customFormat="1" ht="24.95" customHeight="1">
      <c r="A18" s="17">
        <v>16</v>
      </c>
      <c r="B18" s="17">
        <v>11</v>
      </c>
      <c r="C18" s="25" t="s">
        <v>154</v>
      </c>
      <c r="D18" s="19">
        <v>1613.95</v>
      </c>
      <c r="E18" s="19">
        <v>4392.96</v>
      </c>
      <c r="F18" s="20">
        <f>(D18-E18)/E18</f>
        <v>-0.63260535037878796</v>
      </c>
      <c r="G18" s="21">
        <v>235</v>
      </c>
      <c r="H18" s="21">
        <v>19</v>
      </c>
      <c r="I18" s="22">
        <f>G18/H18</f>
        <v>12.368421052631579</v>
      </c>
      <c r="J18" s="22">
        <v>6</v>
      </c>
      <c r="K18" s="22">
        <v>3</v>
      </c>
      <c r="L18" s="19">
        <v>21817.72</v>
      </c>
      <c r="M18" s="21">
        <v>3371</v>
      </c>
      <c r="N18" s="23">
        <v>45485</v>
      </c>
      <c r="O18" s="53" t="s">
        <v>63</v>
      </c>
      <c r="R18" s="17"/>
    </row>
    <row r="19" spans="1:19" s="24" customFormat="1" ht="24.95" customHeight="1">
      <c r="A19" s="17">
        <v>17</v>
      </c>
      <c r="B19" s="22" t="s">
        <v>23</v>
      </c>
      <c r="C19" s="7" t="s">
        <v>184</v>
      </c>
      <c r="D19" s="8">
        <v>1281.5300000000002</v>
      </c>
      <c r="E19" s="20" t="s">
        <v>15</v>
      </c>
      <c r="F19" s="20" t="s">
        <v>15</v>
      </c>
      <c r="G19" s="10">
        <v>560</v>
      </c>
      <c r="H19" s="20" t="s">
        <v>15</v>
      </c>
      <c r="I19" s="20" t="s">
        <v>15</v>
      </c>
      <c r="J19" s="11">
        <v>10</v>
      </c>
      <c r="K19" s="11">
        <v>0</v>
      </c>
      <c r="L19" s="8">
        <v>1281.5300000000002</v>
      </c>
      <c r="M19" s="10">
        <v>560</v>
      </c>
      <c r="N19" s="12" t="s">
        <v>24</v>
      </c>
      <c r="O19" s="31" t="s">
        <v>65</v>
      </c>
      <c r="R19" s="17"/>
    </row>
    <row r="20" spans="1:19" s="24" customFormat="1" ht="24.95" customHeight="1">
      <c r="A20" s="17">
        <v>18</v>
      </c>
      <c r="B20" s="22" t="s">
        <v>15</v>
      </c>
      <c r="C20" s="18" t="s">
        <v>76</v>
      </c>
      <c r="D20" s="19">
        <v>707.9</v>
      </c>
      <c r="E20" s="19" t="s">
        <v>15</v>
      </c>
      <c r="F20" s="20" t="s">
        <v>15</v>
      </c>
      <c r="G20" s="21">
        <v>302</v>
      </c>
      <c r="H20" s="22">
        <v>28</v>
      </c>
      <c r="I20" s="22">
        <f>G20/H20</f>
        <v>10.785714285714286</v>
      </c>
      <c r="J20" s="17">
        <v>4</v>
      </c>
      <c r="K20" s="22" t="s">
        <v>15</v>
      </c>
      <c r="L20" s="19">
        <v>172405.47999999998</v>
      </c>
      <c r="M20" s="21">
        <v>36161</v>
      </c>
      <c r="N20" s="23">
        <v>44925</v>
      </c>
      <c r="O20" s="30" t="s">
        <v>14</v>
      </c>
      <c r="R20" s="17"/>
    </row>
    <row r="21" spans="1:19" s="24" customFormat="1" ht="24.95" customHeight="1">
      <c r="A21" s="17">
        <v>19</v>
      </c>
      <c r="B21" s="17">
        <v>20</v>
      </c>
      <c r="C21" s="25" t="s">
        <v>157</v>
      </c>
      <c r="D21" s="19">
        <v>548.5</v>
      </c>
      <c r="E21" s="19">
        <v>459.5</v>
      </c>
      <c r="F21" s="20">
        <f>(D21-E21)/E21</f>
        <v>0.19368879216539717</v>
      </c>
      <c r="G21" s="21">
        <v>84</v>
      </c>
      <c r="H21" s="21">
        <v>7</v>
      </c>
      <c r="I21" s="22">
        <f>G21/H21</f>
        <v>12</v>
      </c>
      <c r="J21" s="22">
        <v>1</v>
      </c>
      <c r="K21" s="22">
        <v>5</v>
      </c>
      <c r="L21" s="19">
        <v>12469.39</v>
      </c>
      <c r="M21" s="21">
        <v>2035</v>
      </c>
      <c r="N21" s="23">
        <v>45471</v>
      </c>
      <c r="O21" s="53" t="s">
        <v>19</v>
      </c>
      <c r="R21" s="17"/>
    </row>
    <row r="22" spans="1:19" s="24" customFormat="1" ht="24.75" customHeight="1">
      <c r="A22" s="17">
        <v>20</v>
      </c>
      <c r="B22" s="22" t="s">
        <v>15</v>
      </c>
      <c r="C22" s="18" t="s">
        <v>187</v>
      </c>
      <c r="D22" s="28">
        <v>407.5</v>
      </c>
      <c r="E22" s="19" t="s">
        <v>15</v>
      </c>
      <c r="F22" s="20" t="s">
        <v>15</v>
      </c>
      <c r="G22" s="29">
        <v>172</v>
      </c>
      <c r="H22" s="21">
        <v>28</v>
      </c>
      <c r="I22" s="22">
        <v>4.9285714285714288</v>
      </c>
      <c r="J22" s="22">
        <v>4</v>
      </c>
      <c r="K22" s="22" t="s">
        <v>15</v>
      </c>
      <c r="L22" s="28">
        <v>424630.57</v>
      </c>
      <c r="M22" s="29">
        <v>83792</v>
      </c>
      <c r="N22" s="23">
        <v>44652</v>
      </c>
      <c r="O22" s="30" t="s">
        <v>62</v>
      </c>
      <c r="R22" s="17"/>
    </row>
    <row r="23" spans="1:19" s="27" customFormat="1" ht="24.75" customHeight="1">
      <c r="A23" s="17">
        <v>21</v>
      </c>
      <c r="B23" s="17">
        <v>24</v>
      </c>
      <c r="C23" s="25" t="s">
        <v>84</v>
      </c>
      <c r="D23" s="28">
        <v>397</v>
      </c>
      <c r="E23" s="28">
        <v>128</v>
      </c>
      <c r="F23" s="20">
        <v>-0.42480790340285396</v>
      </c>
      <c r="G23" s="29">
        <v>65</v>
      </c>
      <c r="H23" s="21">
        <v>3</v>
      </c>
      <c r="I23" s="22">
        <v>22</v>
      </c>
      <c r="J23" s="22">
        <v>2</v>
      </c>
      <c r="K23" s="22" t="s">
        <v>15</v>
      </c>
      <c r="L23" s="28">
        <v>12231.25</v>
      </c>
      <c r="M23" s="29">
        <v>1959</v>
      </c>
      <c r="N23" s="23">
        <v>45408</v>
      </c>
      <c r="O23" s="53" t="s">
        <v>82</v>
      </c>
      <c r="R23" s="17"/>
      <c r="S23" s="24"/>
    </row>
    <row r="24" spans="1:19" s="27" customFormat="1" ht="24.95" customHeight="1">
      <c r="A24" s="17">
        <v>22</v>
      </c>
      <c r="B24" s="17">
        <v>13</v>
      </c>
      <c r="C24" s="18" t="s">
        <v>153</v>
      </c>
      <c r="D24" s="19">
        <v>355</v>
      </c>
      <c r="E24" s="19">
        <v>2079</v>
      </c>
      <c r="F24" s="20">
        <f>(D24-E24)/E24</f>
        <v>-0.82924482924482923</v>
      </c>
      <c r="G24" s="21">
        <v>46</v>
      </c>
      <c r="H24" s="22" t="s">
        <v>15</v>
      </c>
      <c r="I24" s="22" t="s">
        <v>15</v>
      </c>
      <c r="J24" s="22">
        <v>1</v>
      </c>
      <c r="K24" s="22">
        <v>4</v>
      </c>
      <c r="L24" s="19">
        <v>32333</v>
      </c>
      <c r="M24" s="21">
        <v>4730</v>
      </c>
      <c r="N24" s="23">
        <v>45478</v>
      </c>
      <c r="O24" s="30" t="s">
        <v>13</v>
      </c>
      <c r="R24" s="17"/>
      <c r="S24" s="24"/>
    </row>
    <row r="25" spans="1:19" s="27" customFormat="1" ht="24.75" customHeight="1">
      <c r="A25" s="17">
        <v>23</v>
      </c>
      <c r="B25" s="17">
        <v>15</v>
      </c>
      <c r="C25" s="18" t="s">
        <v>148</v>
      </c>
      <c r="D25" s="19">
        <v>338</v>
      </c>
      <c r="E25" s="19">
        <v>802.2</v>
      </c>
      <c r="F25" s="20">
        <f>(D25-E25)/E25</f>
        <v>-0.57865868860633263</v>
      </c>
      <c r="G25" s="21">
        <v>48</v>
      </c>
      <c r="H25" s="21">
        <v>2</v>
      </c>
      <c r="I25" s="22">
        <f>G25/H25</f>
        <v>24</v>
      </c>
      <c r="J25" s="22">
        <v>2</v>
      </c>
      <c r="K25" s="22">
        <v>5</v>
      </c>
      <c r="L25" s="19">
        <v>4786.1400000000003</v>
      </c>
      <c r="M25" s="21">
        <v>809</v>
      </c>
      <c r="N25" s="23">
        <v>45471</v>
      </c>
      <c r="O25" s="30" t="s">
        <v>82</v>
      </c>
    </row>
    <row r="26" spans="1:19" s="27" customFormat="1" ht="24.75" customHeight="1">
      <c r="A26" s="17">
        <v>24</v>
      </c>
      <c r="B26" s="22" t="s">
        <v>15</v>
      </c>
      <c r="C26" s="7" t="s">
        <v>44</v>
      </c>
      <c r="D26" s="32">
        <v>286</v>
      </c>
      <c r="E26" s="19" t="s">
        <v>15</v>
      </c>
      <c r="F26" s="9" t="s">
        <v>15</v>
      </c>
      <c r="G26" s="33">
        <v>52</v>
      </c>
      <c r="H26" s="10">
        <v>2</v>
      </c>
      <c r="I26" s="11">
        <v>26</v>
      </c>
      <c r="J26" s="11">
        <v>2</v>
      </c>
      <c r="K26" s="11" t="s">
        <v>15</v>
      </c>
      <c r="L26" s="28">
        <v>59695.28</v>
      </c>
      <c r="M26" s="29">
        <v>9409</v>
      </c>
      <c r="N26" s="12">
        <v>45379</v>
      </c>
      <c r="O26" s="31" t="s">
        <v>25</v>
      </c>
    </row>
    <row r="27" spans="1:19" s="27" customFormat="1" ht="24.75" customHeight="1">
      <c r="A27" s="17">
        <v>25</v>
      </c>
      <c r="B27" s="17">
        <v>16</v>
      </c>
      <c r="C27" s="18" t="s">
        <v>120</v>
      </c>
      <c r="D27" s="19">
        <v>199.6</v>
      </c>
      <c r="E27" s="19">
        <v>671.8</v>
      </c>
      <c r="F27" s="20">
        <f>(D27-E27)/E27</f>
        <v>-0.70288776421554033</v>
      </c>
      <c r="G27" s="21">
        <v>41</v>
      </c>
      <c r="H27" s="21">
        <v>5</v>
      </c>
      <c r="I27" s="22">
        <f>G27/H27</f>
        <v>8.1999999999999993</v>
      </c>
      <c r="J27" s="22">
        <v>3</v>
      </c>
      <c r="K27" s="22">
        <v>7</v>
      </c>
      <c r="L27" s="19">
        <v>21614.930000000004</v>
      </c>
      <c r="M27" s="21">
        <v>3441</v>
      </c>
      <c r="N27" s="23">
        <v>45464</v>
      </c>
      <c r="O27" s="30" t="s">
        <v>14</v>
      </c>
    </row>
    <row r="28" spans="1:19" s="27" customFormat="1" ht="24.75" customHeight="1">
      <c r="A28" s="17">
        <v>26</v>
      </c>
      <c r="B28" s="17">
        <v>36</v>
      </c>
      <c r="C28" s="18" t="s">
        <v>131</v>
      </c>
      <c r="D28" s="19">
        <v>193</v>
      </c>
      <c r="E28" s="19">
        <v>18</v>
      </c>
      <c r="F28" s="20">
        <f>(D28-E28)/E28</f>
        <v>9.7222222222222214</v>
      </c>
      <c r="G28" s="21">
        <v>35</v>
      </c>
      <c r="H28" s="21">
        <v>3</v>
      </c>
      <c r="I28" s="22">
        <v>3.7151898734177213</v>
      </c>
      <c r="J28" s="22">
        <v>3</v>
      </c>
      <c r="K28" s="22">
        <v>5</v>
      </c>
      <c r="L28" s="19">
        <v>4652.55</v>
      </c>
      <c r="M28" s="21">
        <v>780</v>
      </c>
      <c r="N28" s="23">
        <v>45471</v>
      </c>
      <c r="O28" s="30" t="s">
        <v>11</v>
      </c>
    </row>
    <row r="29" spans="1:19" s="24" customFormat="1" ht="24.95" customHeight="1">
      <c r="A29" s="17">
        <v>27</v>
      </c>
      <c r="B29" s="17">
        <v>22</v>
      </c>
      <c r="C29" s="18" t="s">
        <v>143</v>
      </c>
      <c r="D29" s="19">
        <v>173</v>
      </c>
      <c r="E29" s="19">
        <v>267</v>
      </c>
      <c r="F29" s="20">
        <f>(D29-E29)/E29</f>
        <v>-0.35205992509363299</v>
      </c>
      <c r="G29" s="21">
        <v>23</v>
      </c>
      <c r="H29" s="22" t="s">
        <v>15</v>
      </c>
      <c r="I29" s="22" t="s">
        <v>15</v>
      </c>
      <c r="J29" s="22">
        <v>3</v>
      </c>
      <c r="K29" s="22">
        <v>5</v>
      </c>
      <c r="L29" s="19">
        <v>18246</v>
      </c>
      <c r="M29" s="21">
        <v>2891</v>
      </c>
      <c r="N29" s="23">
        <v>45471</v>
      </c>
      <c r="O29" s="30" t="s">
        <v>13</v>
      </c>
      <c r="R29" s="17"/>
    </row>
    <row r="30" spans="1:19" s="24" customFormat="1" ht="24.95" customHeight="1">
      <c r="A30" s="17">
        <v>28</v>
      </c>
      <c r="B30" s="22" t="s">
        <v>15</v>
      </c>
      <c r="C30" s="18" t="s">
        <v>38</v>
      </c>
      <c r="D30" s="28">
        <v>162.4</v>
      </c>
      <c r="E30" s="19" t="s">
        <v>15</v>
      </c>
      <c r="F30" s="20" t="s">
        <v>15</v>
      </c>
      <c r="G30" s="29">
        <v>30</v>
      </c>
      <c r="H30" s="21">
        <v>2</v>
      </c>
      <c r="I30" s="22">
        <f>G30/H30</f>
        <v>15</v>
      </c>
      <c r="J30" s="22">
        <v>2</v>
      </c>
      <c r="K30" s="22" t="s">
        <v>15</v>
      </c>
      <c r="L30" s="28">
        <v>5743.11</v>
      </c>
      <c r="M30" s="29">
        <v>960</v>
      </c>
      <c r="N30" s="23">
        <v>45443</v>
      </c>
      <c r="O30" s="30" t="s">
        <v>64</v>
      </c>
      <c r="R30" s="17"/>
    </row>
    <row r="31" spans="1:19" s="24" customFormat="1" ht="24.95" customHeight="1">
      <c r="A31" s="17">
        <v>29</v>
      </c>
      <c r="B31" s="17">
        <v>23</v>
      </c>
      <c r="C31" s="25" t="s">
        <v>149</v>
      </c>
      <c r="D31" s="19">
        <v>91.6</v>
      </c>
      <c r="E31" s="19">
        <v>143.4</v>
      </c>
      <c r="F31" s="20">
        <v>-0.42480790340285396</v>
      </c>
      <c r="G31" s="21">
        <v>12</v>
      </c>
      <c r="H31" s="17">
        <v>1</v>
      </c>
      <c r="I31" s="22">
        <v>12</v>
      </c>
      <c r="J31" s="17">
        <v>1</v>
      </c>
      <c r="K31" s="19" t="s">
        <v>15</v>
      </c>
      <c r="L31" s="19">
        <v>214968.4</v>
      </c>
      <c r="M31" s="21">
        <v>33264</v>
      </c>
      <c r="N31" s="23">
        <v>45191</v>
      </c>
      <c r="O31" s="53" t="s">
        <v>25</v>
      </c>
      <c r="R31" s="17"/>
    </row>
    <row r="32" spans="1:19" s="24" customFormat="1" ht="24.95" customHeight="1">
      <c r="A32" s="17">
        <v>30</v>
      </c>
      <c r="B32" s="17">
        <v>26</v>
      </c>
      <c r="C32" s="18" t="s">
        <v>163</v>
      </c>
      <c r="D32" s="19">
        <v>90</v>
      </c>
      <c r="E32" s="19">
        <v>114</v>
      </c>
      <c r="F32" s="20">
        <f>(D32-E32)/E32</f>
        <v>-0.21052631578947367</v>
      </c>
      <c r="G32" s="21">
        <v>22</v>
      </c>
      <c r="H32" s="22" t="s">
        <v>15</v>
      </c>
      <c r="I32" s="22" t="s">
        <v>15</v>
      </c>
      <c r="J32" s="22">
        <v>2</v>
      </c>
      <c r="K32" s="22">
        <v>3</v>
      </c>
      <c r="L32" s="19">
        <v>1584</v>
      </c>
      <c r="M32" s="21">
        <v>291</v>
      </c>
      <c r="N32" s="23">
        <v>45485</v>
      </c>
      <c r="O32" s="30" t="s">
        <v>13</v>
      </c>
      <c r="R32" s="17"/>
    </row>
    <row r="33" spans="1:18" s="24" customFormat="1" ht="24.95" customHeight="1">
      <c r="A33" s="17">
        <v>31</v>
      </c>
      <c r="B33" s="17">
        <v>34</v>
      </c>
      <c r="C33" s="18" t="s">
        <v>34</v>
      </c>
      <c r="D33" s="19">
        <v>52.4</v>
      </c>
      <c r="E33" s="19">
        <v>32</v>
      </c>
      <c r="F33" s="20">
        <f>(D33-E33)/E33</f>
        <v>0.63749999999999996</v>
      </c>
      <c r="G33" s="21">
        <v>7</v>
      </c>
      <c r="H33" s="22">
        <v>1</v>
      </c>
      <c r="I33" s="22">
        <f>G33/H33</f>
        <v>7</v>
      </c>
      <c r="J33" s="17">
        <v>1</v>
      </c>
      <c r="K33" s="20" t="s">
        <v>15</v>
      </c>
      <c r="L33" s="19">
        <v>10113.800000000001</v>
      </c>
      <c r="M33" s="21">
        <v>1459</v>
      </c>
      <c r="N33" s="23">
        <v>45450</v>
      </c>
      <c r="O33" s="30" t="s">
        <v>14</v>
      </c>
      <c r="R33" s="17"/>
    </row>
    <row r="34" spans="1:18" s="24" customFormat="1" ht="24.95" customHeight="1">
      <c r="A34" s="17">
        <v>32</v>
      </c>
      <c r="B34" s="17">
        <v>28</v>
      </c>
      <c r="C34" s="18" t="s">
        <v>46</v>
      </c>
      <c r="D34" s="19">
        <v>44.4</v>
      </c>
      <c r="E34" s="19">
        <v>62.2</v>
      </c>
      <c r="F34" s="20">
        <v>-0.39748201438848924</v>
      </c>
      <c r="G34" s="21">
        <v>6</v>
      </c>
      <c r="H34" s="22">
        <v>1</v>
      </c>
      <c r="I34" s="22">
        <v>6</v>
      </c>
      <c r="J34" s="17">
        <v>1</v>
      </c>
      <c r="K34" s="22">
        <v>19</v>
      </c>
      <c r="L34" s="19">
        <v>68218.3</v>
      </c>
      <c r="M34" s="21">
        <v>10540</v>
      </c>
      <c r="N34" s="23">
        <v>45379</v>
      </c>
      <c r="O34" s="30" t="s">
        <v>25</v>
      </c>
      <c r="R34" s="17"/>
    </row>
    <row r="35" spans="1:18" s="24" customFormat="1" ht="24.95" customHeight="1">
      <c r="A35" s="17">
        <v>33</v>
      </c>
      <c r="B35" s="17">
        <v>17</v>
      </c>
      <c r="C35" s="18" t="s">
        <v>167</v>
      </c>
      <c r="D35" s="19">
        <v>42.96</v>
      </c>
      <c r="E35" s="19">
        <v>592.5</v>
      </c>
      <c r="F35" s="20">
        <f>(D35-E35)/E35</f>
        <v>-0.92749367088607593</v>
      </c>
      <c r="G35" s="21">
        <v>8</v>
      </c>
      <c r="H35" s="21">
        <v>2</v>
      </c>
      <c r="I35" s="22">
        <f>G35/H35</f>
        <v>4</v>
      </c>
      <c r="J35" s="22">
        <v>1</v>
      </c>
      <c r="K35" s="22">
        <v>3</v>
      </c>
      <c r="L35" s="19">
        <v>8094.77</v>
      </c>
      <c r="M35" s="21">
        <v>1221</v>
      </c>
      <c r="N35" s="23">
        <v>45485</v>
      </c>
      <c r="O35" s="30" t="s">
        <v>168</v>
      </c>
      <c r="R35" s="17"/>
    </row>
    <row r="36" spans="1:18" s="24" customFormat="1" ht="24.95" customHeight="1">
      <c r="A36" s="17">
        <v>34</v>
      </c>
      <c r="B36" s="20" t="s">
        <v>15</v>
      </c>
      <c r="C36" s="25" t="s">
        <v>73</v>
      </c>
      <c r="D36" s="19">
        <v>30</v>
      </c>
      <c r="E36" s="20" t="s">
        <v>15</v>
      </c>
      <c r="F36" s="20" t="s">
        <v>15</v>
      </c>
      <c r="G36" s="21">
        <v>11</v>
      </c>
      <c r="H36" s="21">
        <v>3</v>
      </c>
      <c r="I36" s="22">
        <f>G36/H36</f>
        <v>3.6666666666666665</v>
      </c>
      <c r="J36" s="22">
        <v>1</v>
      </c>
      <c r="K36" s="22" t="s">
        <v>26</v>
      </c>
      <c r="L36" s="19">
        <v>1820.3</v>
      </c>
      <c r="M36" s="10">
        <v>546</v>
      </c>
      <c r="N36" s="23">
        <v>45443</v>
      </c>
      <c r="O36" s="53" t="s">
        <v>68</v>
      </c>
      <c r="R36" s="17"/>
    </row>
    <row r="37" spans="1:18" s="24" customFormat="1" ht="24.95" customHeight="1">
      <c r="A37" s="17">
        <v>35</v>
      </c>
      <c r="B37" s="17">
        <v>35</v>
      </c>
      <c r="C37" s="18" t="s">
        <v>115</v>
      </c>
      <c r="D37" s="19">
        <v>13</v>
      </c>
      <c r="E37" s="19">
        <v>23</v>
      </c>
      <c r="F37" s="20">
        <f>(D37-E37)/E37</f>
        <v>-0.43478260869565216</v>
      </c>
      <c r="G37" s="21">
        <v>3</v>
      </c>
      <c r="H37" s="21">
        <v>1</v>
      </c>
      <c r="I37" s="22">
        <f>G37/H37</f>
        <v>3</v>
      </c>
      <c r="J37" s="22">
        <v>1</v>
      </c>
      <c r="K37" s="22">
        <v>7</v>
      </c>
      <c r="L37" s="19">
        <v>2359.58</v>
      </c>
      <c r="M37" s="21">
        <v>409</v>
      </c>
      <c r="N37" s="23">
        <v>45457</v>
      </c>
      <c r="O37" s="30" t="s">
        <v>116</v>
      </c>
      <c r="R37" s="17"/>
    </row>
    <row r="38" spans="1:18" ht="24.75" customHeight="1">
      <c r="A38" s="46"/>
      <c r="B38" s="57" t="s">
        <v>26</v>
      </c>
      <c r="C38" s="48" t="s">
        <v>69</v>
      </c>
      <c r="D38" s="49">
        <f>SUBTOTAL(109,Table1324567891011[Pajamos 
(GBO)])</f>
        <v>563741.1399999999</v>
      </c>
      <c r="E38" s="49" t="s">
        <v>189</v>
      </c>
      <c r="F38" s="50">
        <f t="shared" ref="F38" si="2">(D38-E38)/E38</f>
        <v>0.29007567800120349</v>
      </c>
      <c r="G38" s="52">
        <f>SUBTOTAL(109,Table1324567891011[Žiūrovų sk. 
(ADM)])</f>
        <v>85115</v>
      </c>
      <c r="H38" s="57"/>
      <c r="I38" s="46"/>
      <c r="J38" s="46"/>
      <c r="K38" s="46"/>
      <c r="L38" s="54"/>
      <c r="M38" s="46"/>
      <c r="N38" s="46"/>
      <c r="O38" s="46" t="s">
        <v>26</v>
      </c>
    </row>
    <row r="39" spans="1:18" s="27" customFormat="1" ht="24.75" hidden="1" customHeight="1">
      <c r="A39" s="1"/>
      <c r="B39" s="58"/>
      <c r="C39" s="1"/>
      <c r="D39" s="1"/>
      <c r="E39" s="43"/>
      <c r="F39" s="37"/>
      <c r="G39" s="1"/>
      <c r="H39" s="58"/>
      <c r="I39" s="1"/>
      <c r="J39" s="1"/>
      <c r="K39" s="1"/>
      <c r="L39" s="43"/>
      <c r="M39" s="1"/>
      <c r="N39" s="1"/>
      <c r="O39" s="1"/>
    </row>
    <row r="40" spans="1:18" s="27" customFormat="1" ht="24.75" hidden="1" customHeight="1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8" s="27" customFormat="1" ht="24.95" hidden="1" customHeight="1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8" s="27" customFormat="1" ht="24.95" hidden="1" customHeight="1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8" s="27" customFormat="1" ht="24.95" hidden="1" customHeight="1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8" s="62" customFormat="1" ht="24.95" hidden="1" customHeight="1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8" s="27" customFormat="1" ht="24.95" hidden="1" customHeight="1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8" s="27" customFormat="1" ht="24.95" hidden="1" customHeight="1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8" s="62" customFormat="1" ht="24.95" hidden="1" customHeight="1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  <row r="48" spans="1:18" s="62" customFormat="1" ht="24.95" hidden="1" customHeight="1">
      <c r="A48" s="1"/>
      <c r="B48" s="58"/>
      <c r="C48" s="1"/>
      <c r="D48" s="1"/>
      <c r="E48" s="43"/>
      <c r="F48" s="37"/>
      <c r="G48" s="1"/>
      <c r="H48" s="58"/>
      <c r="I48" s="1"/>
      <c r="J48" s="1"/>
      <c r="K48" s="1"/>
      <c r="L48" s="43"/>
      <c r="M48" s="1"/>
      <c r="N48" s="1"/>
      <c r="O48" s="1"/>
    </row>
    <row r="49" spans="1:15" s="62" customFormat="1" ht="24.95" hidden="1" customHeight="1">
      <c r="A49" s="1"/>
      <c r="B49" s="58"/>
      <c r="C49" s="1"/>
      <c r="D49" s="1"/>
      <c r="E49" s="43"/>
      <c r="F49" s="37"/>
      <c r="G49" s="1"/>
      <c r="H49" s="58"/>
      <c r="I49" s="1"/>
      <c r="J49" s="1"/>
      <c r="K49" s="1"/>
      <c r="L49" s="43"/>
      <c r="M49" s="1"/>
      <c r="N49" s="1"/>
      <c r="O49" s="1"/>
    </row>
    <row r="50" spans="1:15" s="62" customFormat="1" ht="24.95" hidden="1" customHeight="1">
      <c r="A50" s="1"/>
      <c r="B50" s="58"/>
      <c r="C50" s="1"/>
      <c r="D50" s="1"/>
      <c r="E50" s="43"/>
      <c r="F50" s="37"/>
      <c r="G50" s="1"/>
      <c r="H50" s="58"/>
      <c r="I50" s="1"/>
      <c r="J50" s="1"/>
      <c r="K50" s="1"/>
      <c r="L50" s="43"/>
      <c r="M50" s="1"/>
      <c r="N50" s="1"/>
      <c r="O50" s="1"/>
    </row>
    <row r="51" spans="1:15" s="62" customFormat="1" ht="24.95" hidden="1" customHeight="1">
      <c r="A51" s="1"/>
      <c r="B51" s="58"/>
      <c r="C51" s="1"/>
      <c r="D51" s="1"/>
      <c r="E51" s="43"/>
      <c r="F51" s="37"/>
      <c r="G51" s="1"/>
      <c r="H51" s="58"/>
      <c r="I51" s="1"/>
      <c r="J51" s="1"/>
      <c r="K51" s="1"/>
      <c r="L51" s="43"/>
      <c r="M51" s="1"/>
      <c r="N51" s="1"/>
      <c r="O51" s="1"/>
    </row>
    <row r="52" spans="1:15" s="62" customFormat="1" ht="24.95" hidden="1" customHeight="1">
      <c r="A52" s="1"/>
      <c r="B52" s="58"/>
      <c r="C52" s="1"/>
      <c r="D52" s="1"/>
      <c r="E52" s="43"/>
      <c r="F52" s="37"/>
      <c r="G52" s="1"/>
      <c r="H52" s="58"/>
      <c r="I52" s="1"/>
      <c r="J52" s="1"/>
      <c r="K52" s="1"/>
      <c r="L52" s="43"/>
      <c r="M52" s="1"/>
      <c r="N52" s="1"/>
      <c r="O52" s="1"/>
    </row>
    <row r="53" spans="1:15" s="62" customFormat="1" ht="24.95" hidden="1" customHeight="1">
      <c r="A53" s="1"/>
      <c r="B53" s="58"/>
      <c r="C53" s="1"/>
      <c r="D53" s="1"/>
      <c r="E53" s="43"/>
      <c r="F53" s="37"/>
      <c r="G53" s="1"/>
      <c r="H53" s="58"/>
      <c r="I53" s="1"/>
      <c r="J53" s="1"/>
      <c r="K53" s="1"/>
      <c r="L53" s="43"/>
      <c r="M53" s="1"/>
      <c r="N53" s="1"/>
      <c r="O53" s="1"/>
    </row>
    <row r="54" spans="1:15" s="62" customFormat="1" ht="24.95" hidden="1" customHeight="1">
      <c r="A54" s="1"/>
      <c r="B54" s="58"/>
      <c r="C54" s="1"/>
      <c r="D54" s="1"/>
      <c r="E54" s="43"/>
      <c r="F54" s="37"/>
      <c r="G54" s="1"/>
      <c r="H54" s="58"/>
      <c r="I54" s="1"/>
      <c r="J54" s="1"/>
      <c r="K54" s="1"/>
      <c r="L54" s="43"/>
      <c r="M54" s="1"/>
      <c r="N54" s="1"/>
      <c r="O54" s="1"/>
    </row>
    <row r="55" spans="1:15" s="44" customFormat="1" ht="24.95" hidden="1" customHeight="1">
      <c r="A55" s="1"/>
      <c r="B55" s="58"/>
      <c r="C55" s="1"/>
      <c r="D55" s="1"/>
      <c r="E55" s="43"/>
      <c r="F55" s="37"/>
      <c r="G55" s="1"/>
      <c r="H55" s="58"/>
      <c r="I55" s="1"/>
      <c r="J55" s="1"/>
      <c r="K55" s="1"/>
      <c r="L55" s="43"/>
      <c r="M55" s="1"/>
      <c r="N55" s="1"/>
      <c r="O55" s="1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9BAFE-F4C5-4810-BAAB-D7E3CFDF31D8}">
  <dimension ref="A1:R40"/>
  <sheetViews>
    <sheetView topLeftCell="A9" zoomScale="60" zoomScaleNormal="60" workbookViewId="0">
      <selection activeCell="C9" sqref="C9"/>
    </sheetView>
  </sheetViews>
  <sheetFormatPr defaultColWidth="0" defaultRowHeight="0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3" t="s">
        <v>355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21">
        <v>1</v>
      </c>
      <c r="C3" s="25" t="s">
        <v>340</v>
      </c>
      <c r="D3" s="19">
        <v>169605.08</v>
      </c>
      <c r="E3" s="19">
        <v>249589.24</v>
      </c>
      <c r="F3" s="20">
        <f>(D3-E3)/E3</f>
        <v>-0.32046317381310191</v>
      </c>
      <c r="G3" s="21">
        <v>20372</v>
      </c>
      <c r="H3" s="21">
        <v>437</v>
      </c>
      <c r="I3" s="22">
        <f>G3/H3</f>
        <v>46.617848970251714</v>
      </c>
      <c r="J3" s="22">
        <v>22</v>
      </c>
      <c r="K3" s="21">
        <v>2</v>
      </c>
      <c r="L3" s="19">
        <v>436010.22</v>
      </c>
      <c r="M3" s="21">
        <v>52041</v>
      </c>
      <c r="N3" s="23">
        <v>45611</v>
      </c>
      <c r="O3" s="30" t="s">
        <v>259</v>
      </c>
    </row>
    <row r="4" spans="1:15" s="69" customFormat="1" ht="24.95" customHeight="1">
      <c r="A4" s="17">
        <v>2</v>
      </c>
      <c r="B4" s="21">
        <v>2</v>
      </c>
      <c r="C4" s="25" t="s">
        <v>328</v>
      </c>
      <c r="D4" s="19">
        <v>65683</v>
      </c>
      <c r="E4" s="19">
        <v>109565</v>
      </c>
      <c r="F4" s="20">
        <f>(D4-E4)/E4</f>
        <v>-0.40051111212522245</v>
      </c>
      <c r="G4" s="21">
        <v>9324</v>
      </c>
      <c r="H4" s="20" t="s">
        <v>15</v>
      </c>
      <c r="I4" s="20" t="s">
        <v>15</v>
      </c>
      <c r="J4" s="20" t="s">
        <v>15</v>
      </c>
      <c r="K4" s="22">
        <v>4</v>
      </c>
      <c r="L4" s="19">
        <v>466820</v>
      </c>
      <c r="M4" s="21">
        <v>65901</v>
      </c>
      <c r="N4" s="23">
        <v>45597</v>
      </c>
      <c r="O4" s="30" t="s">
        <v>329</v>
      </c>
    </row>
    <row r="5" spans="1:15" s="69" customFormat="1" ht="24.95" customHeight="1">
      <c r="A5" s="17">
        <v>3</v>
      </c>
      <c r="B5" s="21" t="s">
        <v>17</v>
      </c>
      <c r="C5" s="18" t="s">
        <v>351</v>
      </c>
      <c r="D5" s="28">
        <v>33398.839999999997</v>
      </c>
      <c r="E5" s="20" t="s">
        <v>15</v>
      </c>
      <c r="F5" s="20" t="s">
        <v>15</v>
      </c>
      <c r="G5" s="29">
        <v>4654</v>
      </c>
      <c r="H5" s="21">
        <v>156</v>
      </c>
      <c r="I5" s="22">
        <f>G5/H5</f>
        <v>29.833333333333332</v>
      </c>
      <c r="J5" s="22">
        <v>15</v>
      </c>
      <c r="K5" s="21">
        <v>1</v>
      </c>
      <c r="L5" s="28">
        <v>33398.839999999997</v>
      </c>
      <c r="M5" s="29">
        <v>4778</v>
      </c>
      <c r="N5" s="23">
        <v>45618</v>
      </c>
      <c r="O5" s="30" t="s">
        <v>14</v>
      </c>
    </row>
    <row r="6" spans="1:15" s="69" customFormat="1" ht="24.95" customHeight="1">
      <c r="A6" s="17">
        <v>4</v>
      </c>
      <c r="B6" s="21">
        <v>4</v>
      </c>
      <c r="C6" s="25" t="s">
        <v>333</v>
      </c>
      <c r="D6" s="19">
        <v>30075.43</v>
      </c>
      <c r="E6" s="19">
        <v>36738.06</v>
      </c>
      <c r="F6" s="20">
        <f>(D6-E6)/E6</f>
        <v>-0.18135497628345096</v>
      </c>
      <c r="G6" s="21">
        <v>4497</v>
      </c>
      <c r="H6" s="21">
        <v>150</v>
      </c>
      <c r="I6" s="22">
        <f>G6/H6</f>
        <v>29.98</v>
      </c>
      <c r="J6" s="22">
        <v>10</v>
      </c>
      <c r="K6" s="21">
        <v>3</v>
      </c>
      <c r="L6" s="19">
        <v>106551.43</v>
      </c>
      <c r="M6" s="21">
        <v>15822</v>
      </c>
      <c r="N6" s="23">
        <v>45604</v>
      </c>
      <c r="O6" s="30" t="s">
        <v>12</v>
      </c>
    </row>
    <row r="7" spans="1:15" s="69" customFormat="1" ht="24.95" customHeight="1">
      <c r="A7" s="17">
        <v>5</v>
      </c>
      <c r="B7" s="21">
        <v>3</v>
      </c>
      <c r="C7" s="18" t="s">
        <v>310</v>
      </c>
      <c r="D7" s="28">
        <v>27328.26</v>
      </c>
      <c r="E7" s="19">
        <v>38293.39</v>
      </c>
      <c r="F7" s="20">
        <f>(D7-E7)/E7</f>
        <v>-0.28634524130665895</v>
      </c>
      <c r="G7" s="29">
        <v>4751</v>
      </c>
      <c r="H7" s="21">
        <v>211</v>
      </c>
      <c r="I7" s="22">
        <f>G7/H7</f>
        <v>22.51658767772512</v>
      </c>
      <c r="J7" s="22">
        <v>17</v>
      </c>
      <c r="K7" s="21">
        <v>5</v>
      </c>
      <c r="L7" s="28">
        <v>264908.37</v>
      </c>
      <c r="M7" s="29">
        <v>47773</v>
      </c>
      <c r="N7" s="23">
        <v>45590</v>
      </c>
      <c r="O7" s="30" t="s">
        <v>63</v>
      </c>
    </row>
    <row r="8" spans="1:15" s="69" customFormat="1" ht="24.95" customHeight="1">
      <c r="A8" s="17">
        <v>6</v>
      </c>
      <c r="B8" s="21">
        <v>6</v>
      </c>
      <c r="C8" s="25" t="s">
        <v>343</v>
      </c>
      <c r="D8" s="19">
        <v>23192</v>
      </c>
      <c r="E8" s="28">
        <v>25509</v>
      </c>
      <c r="F8" s="20">
        <f>(D8-E8)/E8</f>
        <v>-9.0830687208436234E-2</v>
      </c>
      <c r="G8" s="21">
        <v>4254</v>
      </c>
      <c r="H8" s="22" t="s">
        <v>15</v>
      </c>
      <c r="I8" s="22" t="s">
        <v>15</v>
      </c>
      <c r="J8" s="22">
        <v>15</v>
      </c>
      <c r="K8" s="21">
        <v>3</v>
      </c>
      <c r="L8" s="19">
        <v>75431</v>
      </c>
      <c r="M8" s="21">
        <v>14112</v>
      </c>
      <c r="N8" s="23">
        <v>45604</v>
      </c>
      <c r="O8" s="30" t="s">
        <v>13</v>
      </c>
    </row>
    <row r="9" spans="1:15" s="69" customFormat="1" ht="24.95" customHeight="1">
      <c r="A9" s="17">
        <v>7</v>
      </c>
      <c r="B9" s="21">
        <v>5</v>
      </c>
      <c r="C9" s="18" t="s">
        <v>305</v>
      </c>
      <c r="D9" s="28">
        <v>13894.05</v>
      </c>
      <c r="E9" s="19">
        <v>28965.64</v>
      </c>
      <c r="F9" s="20">
        <f>(D9-E9)/E9</f>
        <v>-0.52032649718770241</v>
      </c>
      <c r="G9" s="29">
        <v>2042</v>
      </c>
      <c r="H9" s="21">
        <v>87</v>
      </c>
      <c r="I9" s="22">
        <f>G9/H9</f>
        <v>23.471264367816094</v>
      </c>
      <c r="J9" s="22">
        <v>11</v>
      </c>
      <c r="K9" s="21">
        <v>5</v>
      </c>
      <c r="L9" s="28">
        <v>429828.55</v>
      </c>
      <c r="M9" s="29">
        <v>54917</v>
      </c>
      <c r="N9" s="23">
        <v>45590</v>
      </c>
      <c r="O9" s="30" t="s">
        <v>61</v>
      </c>
    </row>
    <row r="10" spans="1:15" s="69" customFormat="1" ht="24.95" customHeight="1">
      <c r="A10" s="17">
        <v>8</v>
      </c>
      <c r="B10" s="29" t="s">
        <v>23</v>
      </c>
      <c r="C10" s="18" t="s">
        <v>361</v>
      </c>
      <c r="D10" s="28">
        <v>10270.49</v>
      </c>
      <c r="E10" s="28" t="s">
        <v>15</v>
      </c>
      <c r="F10" s="20" t="s">
        <v>15</v>
      </c>
      <c r="G10" s="29">
        <v>1864</v>
      </c>
      <c r="H10" s="21">
        <v>17</v>
      </c>
      <c r="I10" s="22">
        <f>G10/H10</f>
        <v>109.64705882352941</v>
      </c>
      <c r="J10" s="22">
        <v>11</v>
      </c>
      <c r="K10" s="21">
        <v>0</v>
      </c>
      <c r="L10" s="28">
        <v>10270.49</v>
      </c>
      <c r="M10" s="29">
        <v>1864</v>
      </c>
      <c r="N10" s="23" t="s">
        <v>24</v>
      </c>
      <c r="O10" s="30" t="s">
        <v>18</v>
      </c>
    </row>
    <row r="11" spans="1:15" s="69" customFormat="1" ht="24.95" customHeight="1">
      <c r="A11" s="17">
        <v>9</v>
      </c>
      <c r="B11" s="21">
        <v>9</v>
      </c>
      <c r="C11" s="25" t="s">
        <v>261</v>
      </c>
      <c r="D11" s="19">
        <v>9206.66</v>
      </c>
      <c r="E11" s="19">
        <v>9053.94</v>
      </c>
      <c r="F11" s="20">
        <f>(D11-E11)/E11</f>
        <v>1.6867794573412163E-2</v>
      </c>
      <c r="G11" s="21">
        <v>1690</v>
      </c>
      <c r="H11" s="21">
        <v>66</v>
      </c>
      <c r="I11" s="22">
        <f>G11/H11</f>
        <v>25.606060606060606</v>
      </c>
      <c r="J11" s="22">
        <v>6</v>
      </c>
      <c r="K11" s="22">
        <v>9</v>
      </c>
      <c r="L11" s="19">
        <v>282402.58</v>
      </c>
      <c r="M11" s="21">
        <v>51712</v>
      </c>
      <c r="N11" s="23">
        <v>45562</v>
      </c>
      <c r="O11" s="53" t="s">
        <v>11</v>
      </c>
    </row>
    <row r="12" spans="1:15" s="69" customFormat="1" ht="24.95" customHeight="1">
      <c r="A12" s="17">
        <v>10</v>
      </c>
      <c r="B12" s="21" t="s">
        <v>17</v>
      </c>
      <c r="C12" s="25" t="s">
        <v>357</v>
      </c>
      <c r="D12" s="19">
        <v>6955.62</v>
      </c>
      <c r="E12" s="19" t="s">
        <v>15</v>
      </c>
      <c r="F12" s="19" t="s">
        <v>15</v>
      </c>
      <c r="G12" s="21">
        <v>1277</v>
      </c>
      <c r="H12" s="21">
        <v>84</v>
      </c>
      <c r="I12" s="22">
        <v>20.169811320754718</v>
      </c>
      <c r="J12" s="22">
        <v>16</v>
      </c>
      <c r="K12" s="22">
        <v>1</v>
      </c>
      <c r="L12" s="19">
        <v>6955.62</v>
      </c>
      <c r="M12" s="21">
        <v>1277</v>
      </c>
      <c r="N12" s="23">
        <v>45618</v>
      </c>
      <c r="O12" s="30" t="s">
        <v>82</v>
      </c>
    </row>
    <row r="13" spans="1:15" s="69" customFormat="1" ht="24.95" customHeight="1">
      <c r="A13" s="17">
        <v>11</v>
      </c>
      <c r="B13" s="21">
        <v>8</v>
      </c>
      <c r="C13" s="25" t="s">
        <v>352</v>
      </c>
      <c r="D13" s="19">
        <v>6685.05</v>
      </c>
      <c r="E13" s="28">
        <v>9177.09</v>
      </c>
      <c r="F13" s="20">
        <f>(D13-E13)/E13</f>
        <v>-0.27155013190455796</v>
      </c>
      <c r="G13" s="21">
        <v>984</v>
      </c>
      <c r="H13" s="21">
        <v>44</v>
      </c>
      <c r="I13" s="22">
        <v>37.19047619047619</v>
      </c>
      <c r="J13" s="22">
        <v>6</v>
      </c>
      <c r="K13" s="21">
        <v>2</v>
      </c>
      <c r="L13" s="19">
        <v>15862.139999999998</v>
      </c>
      <c r="M13" s="21">
        <v>2234</v>
      </c>
      <c r="N13" s="23">
        <v>45611</v>
      </c>
      <c r="O13" s="30" t="s">
        <v>82</v>
      </c>
    </row>
    <row r="14" spans="1:15" s="69" customFormat="1" ht="24.95" customHeight="1">
      <c r="A14" s="17">
        <v>12</v>
      </c>
      <c r="B14" s="21">
        <v>7</v>
      </c>
      <c r="C14" s="18" t="s">
        <v>337</v>
      </c>
      <c r="D14" s="28">
        <v>5836.72</v>
      </c>
      <c r="E14" s="19">
        <v>14808.55</v>
      </c>
      <c r="F14" s="20">
        <f>(D14-E14)/E14</f>
        <v>-0.60585472581717981</v>
      </c>
      <c r="G14" s="29">
        <v>1065</v>
      </c>
      <c r="H14" s="21">
        <v>81</v>
      </c>
      <c r="I14" s="22">
        <f>G14/H14</f>
        <v>13.148148148148149</v>
      </c>
      <c r="J14" s="22">
        <v>14</v>
      </c>
      <c r="K14" s="21">
        <v>2</v>
      </c>
      <c r="L14" s="28">
        <v>21412.97</v>
      </c>
      <c r="M14" s="29">
        <v>3875</v>
      </c>
      <c r="N14" s="23">
        <v>45611</v>
      </c>
      <c r="O14" s="30" t="s">
        <v>11</v>
      </c>
    </row>
    <row r="15" spans="1:15" s="69" customFormat="1" ht="24.95" customHeight="1">
      <c r="A15" s="17">
        <v>13</v>
      </c>
      <c r="B15" s="21" t="s">
        <v>23</v>
      </c>
      <c r="C15" s="18" t="s">
        <v>360</v>
      </c>
      <c r="D15" s="28">
        <v>5328.09</v>
      </c>
      <c r="E15" s="19" t="s">
        <v>15</v>
      </c>
      <c r="F15" s="20" t="s">
        <v>15</v>
      </c>
      <c r="G15" s="29">
        <v>703</v>
      </c>
      <c r="H15" s="21">
        <v>10</v>
      </c>
      <c r="I15" s="22">
        <f>G15/H15</f>
        <v>70.3</v>
      </c>
      <c r="J15" s="22">
        <v>9</v>
      </c>
      <c r="K15" s="21">
        <v>0</v>
      </c>
      <c r="L15" s="28">
        <v>5328.09</v>
      </c>
      <c r="M15" s="29">
        <v>703</v>
      </c>
      <c r="N15" s="23" t="s">
        <v>24</v>
      </c>
      <c r="O15" s="30" t="s">
        <v>11</v>
      </c>
    </row>
    <row r="16" spans="1:15" s="69" customFormat="1" ht="24.95" customHeight="1">
      <c r="A16" s="17">
        <v>14</v>
      </c>
      <c r="B16" s="21">
        <v>10</v>
      </c>
      <c r="C16" s="18" t="s">
        <v>309</v>
      </c>
      <c r="D16" s="28">
        <v>4093.44</v>
      </c>
      <c r="E16" s="19">
        <v>7234.01</v>
      </c>
      <c r="F16" s="20">
        <f>(D16-E16)/E16</f>
        <v>-0.43413957127512959</v>
      </c>
      <c r="G16" s="29">
        <v>625</v>
      </c>
      <c r="H16" s="21">
        <v>28</v>
      </c>
      <c r="I16" s="22">
        <f>G16/H16</f>
        <v>22.321428571428573</v>
      </c>
      <c r="J16" s="22">
        <v>5</v>
      </c>
      <c r="K16" s="21">
        <v>5</v>
      </c>
      <c r="L16" s="28">
        <v>90326.56</v>
      </c>
      <c r="M16" s="29">
        <v>13301</v>
      </c>
      <c r="N16" s="23">
        <v>45590</v>
      </c>
      <c r="O16" s="30" t="s">
        <v>14</v>
      </c>
    </row>
    <row r="17" spans="1:18" s="69" customFormat="1" ht="24.95" customHeight="1">
      <c r="A17" s="17">
        <v>15</v>
      </c>
      <c r="B17" s="21" t="s">
        <v>17</v>
      </c>
      <c r="C17" s="25" t="s">
        <v>358</v>
      </c>
      <c r="D17" s="19">
        <v>3531.1099999999997</v>
      </c>
      <c r="E17" s="19" t="s">
        <v>15</v>
      </c>
      <c r="F17" s="19" t="s">
        <v>15</v>
      </c>
      <c r="G17" s="21">
        <v>556</v>
      </c>
      <c r="H17" s="21">
        <v>34</v>
      </c>
      <c r="I17" s="22">
        <v>17.823529411764707</v>
      </c>
      <c r="J17" s="22">
        <v>11</v>
      </c>
      <c r="K17" s="22">
        <v>1</v>
      </c>
      <c r="L17" s="19">
        <v>3531.1099999999997</v>
      </c>
      <c r="M17" s="21">
        <v>556</v>
      </c>
      <c r="N17" s="23">
        <v>45618</v>
      </c>
      <c r="O17" s="30" t="s">
        <v>82</v>
      </c>
    </row>
    <row r="18" spans="1:18" s="69" customFormat="1" ht="24.95" customHeight="1">
      <c r="A18" s="17">
        <v>16</v>
      </c>
      <c r="B18" s="21">
        <v>11</v>
      </c>
      <c r="C18" s="18" t="s">
        <v>316</v>
      </c>
      <c r="D18" s="28">
        <v>3080.34</v>
      </c>
      <c r="E18" s="19">
        <v>6332.7</v>
      </c>
      <c r="F18" s="20">
        <f>(D18-E18)/E18</f>
        <v>-0.51358188450423992</v>
      </c>
      <c r="G18" s="29">
        <v>464</v>
      </c>
      <c r="H18" s="21">
        <v>29</v>
      </c>
      <c r="I18" s="22">
        <f>G18/H18</f>
        <v>16</v>
      </c>
      <c r="J18" s="22">
        <v>8</v>
      </c>
      <c r="K18" s="21">
        <v>4</v>
      </c>
      <c r="L18" s="28">
        <v>56822.7</v>
      </c>
      <c r="M18" s="29">
        <v>8399</v>
      </c>
      <c r="N18" s="23">
        <v>45597</v>
      </c>
      <c r="O18" s="30" t="s">
        <v>11</v>
      </c>
    </row>
    <row r="19" spans="1:18" s="69" customFormat="1" ht="24.95" customHeight="1">
      <c r="A19" s="17">
        <v>17</v>
      </c>
      <c r="B19" s="21" t="s">
        <v>17</v>
      </c>
      <c r="C19" s="25" t="s">
        <v>359</v>
      </c>
      <c r="D19" s="19">
        <v>2985</v>
      </c>
      <c r="E19" s="20" t="s">
        <v>15</v>
      </c>
      <c r="F19" s="20" t="s">
        <v>15</v>
      </c>
      <c r="G19" s="21">
        <v>460</v>
      </c>
      <c r="H19" s="20" t="s">
        <v>15</v>
      </c>
      <c r="I19" s="20" t="s">
        <v>15</v>
      </c>
      <c r="J19" s="22">
        <v>12</v>
      </c>
      <c r="K19" s="22">
        <v>1</v>
      </c>
      <c r="L19" s="19">
        <v>2985</v>
      </c>
      <c r="M19" s="21">
        <v>460</v>
      </c>
      <c r="N19" s="23">
        <v>45618</v>
      </c>
      <c r="O19" s="30" t="s">
        <v>13</v>
      </c>
    </row>
    <row r="20" spans="1:18" s="69" customFormat="1" ht="24.95" customHeight="1">
      <c r="A20" s="17">
        <v>18</v>
      </c>
      <c r="B20" s="21">
        <v>13</v>
      </c>
      <c r="C20" s="25" t="s">
        <v>268</v>
      </c>
      <c r="D20" s="19">
        <v>2786.96</v>
      </c>
      <c r="E20" s="19">
        <v>2196.02</v>
      </c>
      <c r="F20" s="20">
        <f t="shared" ref="F20:F25" si="0">(D20-E20)/E20</f>
        <v>0.26909590987331627</v>
      </c>
      <c r="G20" s="21">
        <v>412</v>
      </c>
      <c r="H20" s="21">
        <v>14</v>
      </c>
      <c r="I20" s="22">
        <f>G20/H20</f>
        <v>29.428571428571427</v>
      </c>
      <c r="J20" s="22">
        <v>3</v>
      </c>
      <c r="K20" s="22">
        <v>9</v>
      </c>
      <c r="L20" s="19">
        <v>127339.02000000003</v>
      </c>
      <c r="M20" s="21">
        <v>18866</v>
      </c>
      <c r="N20" s="23">
        <v>45562</v>
      </c>
      <c r="O20" s="53" t="s">
        <v>14</v>
      </c>
    </row>
    <row r="21" spans="1:18" s="69" customFormat="1" ht="24.95" customHeight="1">
      <c r="A21" s="17">
        <v>19</v>
      </c>
      <c r="B21" s="21">
        <v>26</v>
      </c>
      <c r="C21" s="25" t="s">
        <v>353</v>
      </c>
      <c r="D21" s="19">
        <v>1015</v>
      </c>
      <c r="E21" s="28">
        <v>260</v>
      </c>
      <c r="F21" s="20">
        <f t="shared" si="0"/>
        <v>2.9038461538461537</v>
      </c>
      <c r="G21" s="21">
        <v>190</v>
      </c>
      <c r="H21" s="21">
        <v>8</v>
      </c>
      <c r="I21" s="22">
        <v>39.25</v>
      </c>
      <c r="J21" s="22">
        <v>4</v>
      </c>
      <c r="K21" s="21" t="s">
        <v>15</v>
      </c>
      <c r="L21" s="19">
        <v>1764</v>
      </c>
      <c r="M21" s="21">
        <v>328</v>
      </c>
      <c r="N21" s="23">
        <v>45576</v>
      </c>
      <c r="O21" s="30" t="s">
        <v>82</v>
      </c>
    </row>
    <row r="22" spans="1:18" s="69" customFormat="1" ht="24.95" customHeight="1">
      <c r="A22" s="17">
        <v>20</v>
      </c>
      <c r="B22" s="21">
        <v>15</v>
      </c>
      <c r="C22" s="18" t="s">
        <v>240</v>
      </c>
      <c r="D22" s="28">
        <v>794.4</v>
      </c>
      <c r="E22" s="28">
        <v>1804.8</v>
      </c>
      <c r="F22" s="20">
        <f t="shared" si="0"/>
        <v>-0.55984042553191493</v>
      </c>
      <c r="G22" s="29">
        <v>111</v>
      </c>
      <c r="H22" s="21">
        <v>9</v>
      </c>
      <c r="I22" s="22">
        <f t="shared" ref="I22:I35" si="1">G22/H22</f>
        <v>12.333333333333334</v>
      </c>
      <c r="J22" s="22">
        <v>1</v>
      </c>
      <c r="K22" s="21">
        <v>11</v>
      </c>
      <c r="L22" s="28">
        <v>116426.73</v>
      </c>
      <c r="M22" s="29">
        <v>17515</v>
      </c>
      <c r="N22" s="23">
        <v>45548</v>
      </c>
      <c r="O22" s="30" t="s">
        <v>11</v>
      </c>
    </row>
    <row r="23" spans="1:18" s="69" customFormat="1" ht="24.95" customHeight="1">
      <c r="A23" s="17">
        <v>21</v>
      </c>
      <c r="B23" s="21">
        <v>16</v>
      </c>
      <c r="C23" s="18" t="s">
        <v>300</v>
      </c>
      <c r="D23" s="28">
        <v>752</v>
      </c>
      <c r="E23" s="28">
        <v>1066.5</v>
      </c>
      <c r="F23" s="20">
        <f t="shared" si="0"/>
        <v>-0.29488982653539614</v>
      </c>
      <c r="G23" s="29">
        <v>118</v>
      </c>
      <c r="H23" s="21">
        <v>14</v>
      </c>
      <c r="I23" s="22">
        <f t="shared" si="1"/>
        <v>8.4285714285714288</v>
      </c>
      <c r="J23" s="22">
        <v>2</v>
      </c>
      <c r="K23" s="21">
        <v>6</v>
      </c>
      <c r="L23" s="28">
        <v>31690.27</v>
      </c>
      <c r="M23" s="29">
        <v>4885</v>
      </c>
      <c r="N23" s="23">
        <v>45583</v>
      </c>
      <c r="O23" s="30" t="s">
        <v>251</v>
      </c>
    </row>
    <row r="24" spans="1:18" s="69" customFormat="1" ht="24.95" customHeight="1">
      <c r="A24" s="17">
        <v>22</v>
      </c>
      <c r="B24" s="21">
        <v>14</v>
      </c>
      <c r="C24" s="18" t="s">
        <v>292</v>
      </c>
      <c r="D24" s="28">
        <v>572.70000000000005</v>
      </c>
      <c r="E24" s="19">
        <v>1953.5</v>
      </c>
      <c r="F24" s="20">
        <f t="shared" si="0"/>
        <v>-0.70683388789352442</v>
      </c>
      <c r="G24" s="29">
        <v>75</v>
      </c>
      <c r="H24" s="21">
        <v>2</v>
      </c>
      <c r="I24" s="22">
        <f t="shared" si="1"/>
        <v>37.5</v>
      </c>
      <c r="J24" s="22">
        <v>1</v>
      </c>
      <c r="K24" s="21">
        <v>6</v>
      </c>
      <c r="L24" s="28">
        <v>169127.87</v>
      </c>
      <c r="M24" s="29">
        <v>23103</v>
      </c>
      <c r="N24" s="23">
        <v>45583</v>
      </c>
      <c r="O24" s="30" t="s">
        <v>259</v>
      </c>
    </row>
    <row r="25" spans="1:18" s="69" customFormat="1" ht="24.95" customHeight="1">
      <c r="A25" s="17">
        <v>23</v>
      </c>
      <c r="B25" s="21">
        <v>12</v>
      </c>
      <c r="C25" s="18" t="s">
        <v>315</v>
      </c>
      <c r="D25" s="28">
        <v>450</v>
      </c>
      <c r="E25" s="28">
        <v>2773.8</v>
      </c>
      <c r="F25" s="20">
        <f t="shared" si="0"/>
        <v>-0.83776768332251783</v>
      </c>
      <c r="G25" s="29">
        <v>61</v>
      </c>
      <c r="H25" s="21">
        <v>5</v>
      </c>
      <c r="I25" s="22">
        <f t="shared" si="1"/>
        <v>12.2</v>
      </c>
      <c r="J25" s="22">
        <v>2</v>
      </c>
      <c r="K25" s="21">
        <v>3</v>
      </c>
      <c r="L25" s="28">
        <v>24608.35</v>
      </c>
      <c r="M25" s="29">
        <v>3491</v>
      </c>
      <c r="N25" s="23">
        <v>45604</v>
      </c>
      <c r="O25" s="30" t="s">
        <v>11</v>
      </c>
    </row>
    <row r="26" spans="1:18" s="69" customFormat="1" ht="24.95" customHeight="1">
      <c r="A26" s="17">
        <v>24</v>
      </c>
      <c r="B26" s="28" t="s">
        <v>15</v>
      </c>
      <c r="C26" s="18" t="s">
        <v>105</v>
      </c>
      <c r="D26" s="28">
        <v>239</v>
      </c>
      <c r="E26" s="28" t="s">
        <v>15</v>
      </c>
      <c r="F26" s="20" t="s">
        <v>15</v>
      </c>
      <c r="G26" s="29">
        <v>45</v>
      </c>
      <c r="H26" s="21">
        <v>1</v>
      </c>
      <c r="I26" s="22">
        <f t="shared" si="1"/>
        <v>45</v>
      </c>
      <c r="J26" s="22">
        <v>1</v>
      </c>
      <c r="K26" s="21" t="s">
        <v>15</v>
      </c>
      <c r="L26" s="28">
        <v>60310.12</v>
      </c>
      <c r="M26" s="29">
        <v>9455</v>
      </c>
      <c r="N26" s="23">
        <v>45254</v>
      </c>
      <c r="O26" s="30" t="s">
        <v>11</v>
      </c>
    </row>
    <row r="27" spans="1:18" s="69" customFormat="1" ht="24.95" customHeight="1">
      <c r="A27" s="17">
        <v>25</v>
      </c>
      <c r="B27" s="28" t="s">
        <v>15</v>
      </c>
      <c r="C27" s="18" t="s">
        <v>135</v>
      </c>
      <c r="D27" s="28">
        <v>139.37</v>
      </c>
      <c r="E27" s="28" t="s">
        <v>15</v>
      </c>
      <c r="F27" s="20" t="s">
        <v>15</v>
      </c>
      <c r="G27" s="29">
        <v>33</v>
      </c>
      <c r="H27" s="21">
        <v>2</v>
      </c>
      <c r="I27" s="22">
        <f t="shared" si="1"/>
        <v>16.5</v>
      </c>
      <c r="J27" s="22">
        <v>2</v>
      </c>
      <c r="K27" s="21" t="s">
        <v>15</v>
      </c>
      <c r="L27" s="28">
        <v>33399.480000000003</v>
      </c>
      <c r="M27" s="29">
        <v>5569</v>
      </c>
      <c r="N27" s="23">
        <v>45303</v>
      </c>
      <c r="O27" s="30" t="s">
        <v>66</v>
      </c>
    </row>
    <row r="28" spans="1:18" s="69" customFormat="1" ht="24.95" customHeight="1">
      <c r="A28" s="17">
        <v>26</v>
      </c>
      <c r="B28" s="21" t="s">
        <v>15</v>
      </c>
      <c r="C28" s="18" t="s">
        <v>339</v>
      </c>
      <c r="D28" s="28">
        <v>129</v>
      </c>
      <c r="E28" s="28" t="s">
        <v>15</v>
      </c>
      <c r="F28" s="20" t="s">
        <v>15</v>
      </c>
      <c r="G28" s="29">
        <v>43</v>
      </c>
      <c r="H28" s="21">
        <v>1</v>
      </c>
      <c r="I28" s="22">
        <f t="shared" si="1"/>
        <v>43</v>
      </c>
      <c r="J28" s="22">
        <v>1</v>
      </c>
      <c r="K28" s="21" t="s">
        <v>15</v>
      </c>
      <c r="L28" s="28" t="s">
        <v>362</v>
      </c>
      <c r="M28" s="29">
        <v>1373</v>
      </c>
      <c r="N28" s="23">
        <v>44007</v>
      </c>
      <c r="O28" s="30" t="s">
        <v>25</v>
      </c>
    </row>
    <row r="29" spans="1:18" s="69" customFormat="1" ht="24.95" customHeight="1">
      <c r="A29" s="17">
        <v>27</v>
      </c>
      <c r="B29" s="21">
        <v>25</v>
      </c>
      <c r="C29" s="18" t="s">
        <v>47</v>
      </c>
      <c r="D29" s="28">
        <v>122.14</v>
      </c>
      <c r="E29" s="28">
        <v>276</v>
      </c>
      <c r="F29" s="20">
        <f>(D29-E29)/E29</f>
        <v>-0.55746376811594212</v>
      </c>
      <c r="G29" s="29">
        <v>31</v>
      </c>
      <c r="H29" s="21">
        <v>1</v>
      </c>
      <c r="I29" s="22">
        <f t="shared" si="1"/>
        <v>31</v>
      </c>
      <c r="J29" s="22">
        <v>1</v>
      </c>
      <c r="K29" s="21" t="s">
        <v>15</v>
      </c>
      <c r="L29" s="28">
        <v>25336.05</v>
      </c>
      <c r="M29" s="29">
        <v>4305</v>
      </c>
      <c r="N29" s="23">
        <v>45359</v>
      </c>
      <c r="O29" s="30" t="s">
        <v>66</v>
      </c>
    </row>
    <row r="30" spans="1:18" s="24" customFormat="1" ht="24.95" customHeight="1">
      <c r="A30" s="17">
        <v>28</v>
      </c>
      <c r="B30" s="21" t="s">
        <v>17</v>
      </c>
      <c r="C30" s="25" t="s">
        <v>347</v>
      </c>
      <c r="D30" s="19">
        <v>119.6</v>
      </c>
      <c r="E30" s="19" t="s">
        <v>15</v>
      </c>
      <c r="F30" s="20" t="s">
        <v>15</v>
      </c>
      <c r="G30" s="21">
        <v>20</v>
      </c>
      <c r="H30" s="21">
        <v>7</v>
      </c>
      <c r="I30" s="22">
        <f t="shared" si="1"/>
        <v>2.8571428571428572</v>
      </c>
      <c r="J30" s="22">
        <v>4</v>
      </c>
      <c r="K30" s="22">
        <v>1</v>
      </c>
      <c r="L30" s="19">
        <v>160.6</v>
      </c>
      <c r="M30" s="21">
        <v>27</v>
      </c>
      <c r="N30" s="23">
        <v>45618</v>
      </c>
      <c r="O30" s="30" t="s">
        <v>217</v>
      </c>
      <c r="R30" s="17"/>
    </row>
    <row r="31" spans="1:18" s="24" customFormat="1" ht="24.95" customHeight="1">
      <c r="A31" s="17">
        <v>29</v>
      </c>
      <c r="B31" s="21">
        <v>22</v>
      </c>
      <c r="C31" s="18" t="s">
        <v>319</v>
      </c>
      <c r="D31" s="28">
        <v>119</v>
      </c>
      <c r="E31" s="28">
        <v>388.6</v>
      </c>
      <c r="F31" s="20">
        <f t="shared" ref="F31:F37" si="2">(D31-E31)/E31</f>
        <v>-0.69377251672671125</v>
      </c>
      <c r="G31" s="29">
        <v>16</v>
      </c>
      <c r="H31" s="21">
        <v>1</v>
      </c>
      <c r="I31" s="22">
        <f t="shared" si="1"/>
        <v>16</v>
      </c>
      <c r="J31" s="22">
        <v>1</v>
      </c>
      <c r="K31" s="21">
        <v>5</v>
      </c>
      <c r="L31" s="28">
        <v>49319.75</v>
      </c>
      <c r="M31" s="29">
        <v>6970</v>
      </c>
      <c r="N31" s="23">
        <v>45590</v>
      </c>
      <c r="O31" s="30" t="s">
        <v>251</v>
      </c>
      <c r="R31" s="17"/>
    </row>
    <row r="32" spans="1:18" s="24" customFormat="1" ht="24.95" customHeight="1">
      <c r="A32" s="17">
        <v>30</v>
      </c>
      <c r="B32" s="21">
        <v>36</v>
      </c>
      <c r="C32" s="18" t="s">
        <v>272</v>
      </c>
      <c r="D32" s="28">
        <v>106</v>
      </c>
      <c r="E32" s="19">
        <v>22</v>
      </c>
      <c r="F32" s="20">
        <f t="shared" si="2"/>
        <v>3.8181818181818183</v>
      </c>
      <c r="G32" s="29">
        <v>30</v>
      </c>
      <c r="H32" s="21">
        <v>2</v>
      </c>
      <c r="I32" s="22">
        <f t="shared" si="1"/>
        <v>15</v>
      </c>
      <c r="J32" s="22">
        <v>2</v>
      </c>
      <c r="K32" s="21">
        <v>6</v>
      </c>
      <c r="L32" s="28">
        <v>62750.19</v>
      </c>
      <c r="M32" s="29">
        <v>11925</v>
      </c>
      <c r="N32" s="23">
        <v>45583</v>
      </c>
      <c r="O32" s="30" t="s">
        <v>11</v>
      </c>
      <c r="R32" s="17"/>
    </row>
    <row r="33" spans="1:18" s="24" customFormat="1" ht="24.95" customHeight="1">
      <c r="A33" s="17">
        <v>31</v>
      </c>
      <c r="B33" s="21">
        <v>19</v>
      </c>
      <c r="C33" s="25" t="s">
        <v>330</v>
      </c>
      <c r="D33" s="19">
        <v>51.5</v>
      </c>
      <c r="E33" s="19">
        <v>496.48</v>
      </c>
      <c r="F33" s="20">
        <f t="shared" si="2"/>
        <v>-0.89626973896229456</v>
      </c>
      <c r="G33" s="21">
        <v>13</v>
      </c>
      <c r="H33" s="21">
        <v>2</v>
      </c>
      <c r="I33" s="22">
        <f t="shared" si="1"/>
        <v>6.5</v>
      </c>
      <c r="J33" s="22">
        <v>2</v>
      </c>
      <c r="K33" s="22">
        <v>4</v>
      </c>
      <c r="L33" s="19">
        <v>14842.66</v>
      </c>
      <c r="M33" s="21">
        <v>2773</v>
      </c>
      <c r="N33" s="23">
        <v>45597</v>
      </c>
      <c r="O33" s="30" t="s">
        <v>11</v>
      </c>
      <c r="R33" s="17"/>
    </row>
    <row r="34" spans="1:18" s="24" customFormat="1" ht="24.95" customHeight="1">
      <c r="A34" s="17">
        <v>32</v>
      </c>
      <c r="B34" s="21">
        <v>23</v>
      </c>
      <c r="C34" s="18" t="s">
        <v>304</v>
      </c>
      <c r="D34" s="28">
        <v>50</v>
      </c>
      <c r="E34" s="19">
        <v>342.2</v>
      </c>
      <c r="F34" s="20">
        <f t="shared" si="2"/>
        <v>-0.85388661601402693</v>
      </c>
      <c r="G34" s="29">
        <v>9</v>
      </c>
      <c r="H34" s="21">
        <v>1</v>
      </c>
      <c r="I34" s="22">
        <f t="shared" si="1"/>
        <v>9</v>
      </c>
      <c r="J34" s="22">
        <v>1</v>
      </c>
      <c r="K34" s="21">
        <v>5</v>
      </c>
      <c r="L34" s="28">
        <v>13032.98</v>
      </c>
      <c r="M34" s="29">
        <v>1924</v>
      </c>
      <c r="N34" s="23">
        <v>45590</v>
      </c>
      <c r="O34" s="30" t="s">
        <v>11</v>
      </c>
      <c r="R34" s="17"/>
    </row>
    <row r="35" spans="1:18" s="24" customFormat="1" ht="24.95" customHeight="1">
      <c r="A35" s="17">
        <v>33</v>
      </c>
      <c r="B35" s="21">
        <v>30</v>
      </c>
      <c r="C35" s="18" t="s">
        <v>239</v>
      </c>
      <c r="D35" s="28">
        <v>35</v>
      </c>
      <c r="E35" s="28">
        <v>130</v>
      </c>
      <c r="F35" s="20">
        <f t="shared" si="2"/>
        <v>-0.73076923076923073</v>
      </c>
      <c r="G35" s="29">
        <v>7</v>
      </c>
      <c r="H35" s="21">
        <v>1</v>
      </c>
      <c r="I35" s="22">
        <f t="shared" si="1"/>
        <v>7</v>
      </c>
      <c r="J35" s="22">
        <v>1</v>
      </c>
      <c r="K35" s="20" t="s">
        <v>15</v>
      </c>
      <c r="L35" s="28">
        <v>45664.859999999993</v>
      </c>
      <c r="M35" s="29">
        <v>9018</v>
      </c>
      <c r="N35" s="23">
        <v>45541</v>
      </c>
      <c r="O35" s="30" t="s">
        <v>14</v>
      </c>
      <c r="R35" s="17"/>
    </row>
    <row r="36" spans="1:18" s="24" customFormat="1" ht="24.95" customHeight="1">
      <c r="A36" s="17">
        <v>34</v>
      </c>
      <c r="B36" s="21">
        <v>24</v>
      </c>
      <c r="C36" s="18" t="s">
        <v>282</v>
      </c>
      <c r="D36" s="28">
        <v>25</v>
      </c>
      <c r="E36" s="19">
        <v>295</v>
      </c>
      <c r="F36" s="20">
        <f t="shared" si="2"/>
        <v>-0.9152542372881356</v>
      </c>
      <c r="G36" s="29">
        <v>5</v>
      </c>
      <c r="H36" s="20" t="s">
        <v>15</v>
      </c>
      <c r="I36" s="20" t="s">
        <v>15</v>
      </c>
      <c r="J36" s="22">
        <v>1</v>
      </c>
      <c r="K36" s="21">
        <v>7</v>
      </c>
      <c r="L36" s="28">
        <v>53621</v>
      </c>
      <c r="M36" s="29">
        <v>10434</v>
      </c>
      <c r="N36" s="23">
        <v>45576</v>
      </c>
      <c r="O36" s="30" t="s">
        <v>13</v>
      </c>
      <c r="R36" s="17"/>
    </row>
    <row r="37" spans="1:18" s="24" customFormat="1" ht="24.95" customHeight="1">
      <c r="A37" s="17">
        <v>35</v>
      </c>
      <c r="B37" s="21">
        <v>39</v>
      </c>
      <c r="C37" s="25" t="s">
        <v>326</v>
      </c>
      <c r="D37" s="19">
        <v>8</v>
      </c>
      <c r="E37" s="19">
        <v>6</v>
      </c>
      <c r="F37" s="20">
        <f t="shared" si="2"/>
        <v>0.33333333333333331</v>
      </c>
      <c r="G37" s="21">
        <v>2</v>
      </c>
      <c r="H37" s="21">
        <v>1</v>
      </c>
      <c r="I37" s="22">
        <f>G37/H37</f>
        <v>2</v>
      </c>
      <c r="J37" s="22">
        <v>1</v>
      </c>
      <c r="K37" s="22">
        <v>4</v>
      </c>
      <c r="L37" s="19">
        <v>631.79999999999995</v>
      </c>
      <c r="M37" s="21">
        <v>104</v>
      </c>
      <c r="N37" s="23">
        <v>45597</v>
      </c>
      <c r="O37" s="30" t="s">
        <v>217</v>
      </c>
      <c r="R37" s="17"/>
    </row>
    <row r="38" spans="1:18" s="24" customFormat="1" ht="24.95" customHeight="1">
      <c r="A38" s="17">
        <v>36</v>
      </c>
      <c r="B38" s="29" t="s">
        <v>15</v>
      </c>
      <c r="C38" s="7" t="s">
        <v>332</v>
      </c>
      <c r="D38" s="32">
        <v>6</v>
      </c>
      <c r="E38" s="28" t="s">
        <v>15</v>
      </c>
      <c r="F38" s="9" t="s">
        <v>15</v>
      </c>
      <c r="G38" s="33">
        <v>2</v>
      </c>
      <c r="H38" s="10">
        <v>1</v>
      </c>
      <c r="I38" s="11">
        <v>2</v>
      </c>
      <c r="J38" s="11">
        <v>1</v>
      </c>
      <c r="K38" s="10" t="s">
        <v>15</v>
      </c>
      <c r="L38" s="28">
        <v>4059.8900000000003</v>
      </c>
      <c r="M38" s="29">
        <v>756</v>
      </c>
      <c r="N38" s="12">
        <v>45597</v>
      </c>
      <c r="O38" s="31" t="s">
        <v>95</v>
      </c>
      <c r="R38" s="17"/>
    </row>
    <row r="39" spans="1:18" s="24" customFormat="1" ht="24.95" customHeight="1">
      <c r="A39" s="17">
        <v>37</v>
      </c>
      <c r="B39" s="21">
        <v>33</v>
      </c>
      <c r="C39" s="25" t="s">
        <v>331</v>
      </c>
      <c r="D39" s="19">
        <v>4</v>
      </c>
      <c r="E39" s="19">
        <v>80</v>
      </c>
      <c r="F39" s="20">
        <f>(D39-E39)/E39</f>
        <v>-0.95</v>
      </c>
      <c r="G39" s="21">
        <v>1</v>
      </c>
      <c r="H39" s="21">
        <v>1</v>
      </c>
      <c r="I39" s="22">
        <f>G39/H39</f>
        <v>1</v>
      </c>
      <c r="J39" s="22">
        <v>1</v>
      </c>
      <c r="K39" s="22">
        <v>4</v>
      </c>
      <c r="L39" s="19">
        <v>926</v>
      </c>
      <c r="M39" s="21">
        <v>152</v>
      </c>
      <c r="N39" s="23">
        <v>45597</v>
      </c>
      <c r="O39" s="30" t="s">
        <v>25</v>
      </c>
      <c r="R39" s="17"/>
    </row>
    <row r="40" spans="1:18" ht="24.95" customHeight="1">
      <c r="A40" s="46"/>
      <c r="B40" s="57" t="s">
        <v>26</v>
      </c>
      <c r="C40" s="48" t="s">
        <v>196</v>
      </c>
      <c r="D40" s="49">
        <f>SUBTOTAL(109,Table13245678910111213141517161828192021222324252627[Pajamos 
(GBO)])</f>
        <v>428673.85</v>
      </c>
      <c r="E40" s="49" t="s">
        <v>356</v>
      </c>
      <c r="F40" s="50">
        <f t="shared" ref="F40" si="3">(D40-E40)/E40</f>
        <v>-0.22112263660710721</v>
      </c>
      <c r="G40" s="52">
        <f>SUBTOTAL(109,Table13245678910111213141517161828192021222324252627[Žiūrovų sk. 
(ADM)])</f>
        <v>60806</v>
      </c>
      <c r="H40" s="57"/>
      <c r="I40" s="46"/>
      <c r="J40" s="46"/>
      <c r="K40" s="57"/>
      <c r="L40" s="54"/>
      <c r="M40" s="57"/>
      <c r="N40" s="46"/>
      <c r="O40" s="46" t="s">
        <v>26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C7A18-D6B0-40B8-B901-4C99D1D33641}">
  <sheetPr>
    <pageSetUpPr fitToPage="1"/>
  </sheetPr>
  <dimension ref="A1:XFC56"/>
  <sheetViews>
    <sheetView topLeftCell="A20" zoomScale="60" zoomScaleNormal="60" workbookViewId="0">
      <selection activeCell="C32" sqref="C32:O32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3" t="s">
        <v>175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21">
        <v>1</v>
      </c>
      <c r="C3" s="18" t="s">
        <v>146</v>
      </c>
      <c r="D3" s="19">
        <v>137273.79</v>
      </c>
      <c r="E3" s="19">
        <v>219529.3</v>
      </c>
      <c r="F3" s="20">
        <f>(D3-E3)/E3</f>
        <v>-0.37469034885092778</v>
      </c>
      <c r="G3" s="21">
        <v>23597</v>
      </c>
      <c r="H3" s="21">
        <v>553</v>
      </c>
      <c r="I3" s="22">
        <f t="shared" ref="I3:I8" si="0">G3/H3</f>
        <v>42.670886075949369</v>
      </c>
      <c r="J3" s="22">
        <v>25</v>
      </c>
      <c r="K3" s="22">
        <v>3</v>
      </c>
      <c r="L3" s="19">
        <v>714250.18</v>
      </c>
      <c r="M3" s="21">
        <v>121713</v>
      </c>
      <c r="N3" s="23">
        <v>45478</v>
      </c>
      <c r="O3" s="30" t="s">
        <v>63</v>
      </c>
    </row>
    <row r="4" spans="1:18" s="24" customFormat="1" ht="24.95" customHeight="1">
      <c r="A4" s="17">
        <v>2</v>
      </c>
      <c r="B4" s="22" t="s">
        <v>23</v>
      </c>
      <c r="C4" s="18" t="s">
        <v>178</v>
      </c>
      <c r="D4" s="19">
        <v>85160.84</v>
      </c>
      <c r="E4" s="19" t="s">
        <v>15</v>
      </c>
      <c r="F4" s="20" t="s">
        <v>15</v>
      </c>
      <c r="G4" s="21">
        <v>10591</v>
      </c>
      <c r="H4" s="21">
        <v>129</v>
      </c>
      <c r="I4" s="22">
        <f t="shared" si="0"/>
        <v>82.100775193798455</v>
      </c>
      <c r="J4" s="22">
        <v>15</v>
      </c>
      <c r="K4" s="22">
        <v>0</v>
      </c>
      <c r="L4" s="19">
        <v>85160.84</v>
      </c>
      <c r="M4" s="21">
        <v>10591</v>
      </c>
      <c r="N4" s="23" t="s">
        <v>24</v>
      </c>
      <c r="O4" s="30" t="s">
        <v>18</v>
      </c>
    </row>
    <row r="5" spans="1:18" s="24" customFormat="1" ht="24.95" customHeight="1">
      <c r="A5" s="17">
        <v>3</v>
      </c>
      <c r="B5" s="21">
        <v>2</v>
      </c>
      <c r="C5" s="25" t="s">
        <v>106</v>
      </c>
      <c r="D5" s="19">
        <v>61726.9</v>
      </c>
      <c r="E5" s="19">
        <v>83860.33</v>
      </c>
      <c r="F5" s="20">
        <f>(D5-E5)/E5</f>
        <v>-0.26393206418338683</v>
      </c>
      <c r="G5" s="21">
        <v>11120</v>
      </c>
      <c r="H5" s="21">
        <v>336</v>
      </c>
      <c r="I5" s="22">
        <f t="shared" si="0"/>
        <v>33.095238095238095</v>
      </c>
      <c r="J5" s="22">
        <v>21</v>
      </c>
      <c r="K5" s="22">
        <v>6</v>
      </c>
      <c r="L5" s="19">
        <v>1077962.6399999999</v>
      </c>
      <c r="M5" s="21">
        <v>183812</v>
      </c>
      <c r="N5" s="23">
        <v>45457</v>
      </c>
      <c r="O5" s="30" t="s">
        <v>18</v>
      </c>
      <c r="R5" s="17"/>
    </row>
    <row r="6" spans="1:18" s="24" customFormat="1" ht="24.95" customHeight="1">
      <c r="A6" s="17">
        <v>4</v>
      </c>
      <c r="B6" s="21" t="s">
        <v>17</v>
      </c>
      <c r="C6" s="18" t="s">
        <v>165</v>
      </c>
      <c r="D6" s="19">
        <v>55135.040000000001</v>
      </c>
      <c r="E6" s="20" t="s">
        <v>15</v>
      </c>
      <c r="F6" s="20" t="s">
        <v>15</v>
      </c>
      <c r="G6" s="21">
        <v>7939</v>
      </c>
      <c r="H6" s="21">
        <v>257</v>
      </c>
      <c r="I6" s="22">
        <f t="shared" si="0"/>
        <v>30.891050583657588</v>
      </c>
      <c r="J6" s="22">
        <v>14</v>
      </c>
      <c r="K6" s="22">
        <v>1</v>
      </c>
      <c r="L6" s="19">
        <v>58058.04</v>
      </c>
      <c r="M6" s="21">
        <v>8362</v>
      </c>
      <c r="N6" s="23" t="s">
        <v>177</v>
      </c>
      <c r="O6" s="30" t="s">
        <v>66</v>
      </c>
      <c r="R6" s="17"/>
    </row>
    <row r="7" spans="1:18" s="24" customFormat="1" ht="24.95" customHeight="1">
      <c r="A7" s="17">
        <v>5</v>
      </c>
      <c r="B7" s="21" t="s">
        <v>17</v>
      </c>
      <c r="C7" s="18" t="s">
        <v>166</v>
      </c>
      <c r="D7" s="19">
        <v>37146.97</v>
      </c>
      <c r="E7" s="20" t="s">
        <v>15</v>
      </c>
      <c r="F7" s="20" t="s">
        <v>15</v>
      </c>
      <c r="G7" s="21">
        <v>4924</v>
      </c>
      <c r="H7" s="21">
        <v>256</v>
      </c>
      <c r="I7" s="22">
        <f t="shared" si="0"/>
        <v>19.234375</v>
      </c>
      <c r="J7" s="22">
        <v>14</v>
      </c>
      <c r="K7" s="22">
        <v>1</v>
      </c>
      <c r="L7" s="19">
        <v>39691.730000000003</v>
      </c>
      <c r="M7" s="21">
        <v>5277</v>
      </c>
      <c r="N7" s="23" t="s">
        <v>177</v>
      </c>
      <c r="O7" s="30" t="s">
        <v>66</v>
      </c>
      <c r="R7" s="17"/>
    </row>
    <row r="8" spans="1:18" s="24" customFormat="1" ht="24.95" customHeight="1">
      <c r="A8" s="17">
        <v>6</v>
      </c>
      <c r="B8" s="21">
        <v>3</v>
      </c>
      <c r="C8" s="25" t="s">
        <v>136</v>
      </c>
      <c r="D8" s="19">
        <v>17259.66</v>
      </c>
      <c r="E8" s="19">
        <v>28799.03</v>
      </c>
      <c r="F8" s="20">
        <f>(D8-E8)/E8</f>
        <v>-0.40068606477370938</v>
      </c>
      <c r="G8" s="21">
        <v>2491</v>
      </c>
      <c r="H8" s="21">
        <v>127</v>
      </c>
      <c r="I8" s="22">
        <f t="shared" si="0"/>
        <v>19.614173228346456</v>
      </c>
      <c r="J8" s="22">
        <v>11</v>
      </c>
      <c r="K8" s="22">
        <v>4</v>
      </c>
      <c r="L8" s="19">
        <v>155258.12</v>
      </c>
      <c r="M8" s="21">
        <v>21797</v>
      </c>
      <c r="N8" s="23">
        <v>45471</v>
      </c>
      <c r="O8" s="53" t="s">
        <v>62</v>
      </c>
      <c r="R8" s="17"/>
    </row>
    <row r="9" spans="1:18" s="24" customFormat="1" ht="24.95" customHeight="1">
      <c r="A9" s="17">
        <v>7</v>
      </c>
      <c r="B9" s="21" t="s">
        <v>17</v>
      </c>
      <c r="C9" s="13" t="s">
        <v>176</v>
      </c>
      <c r="D9" s="8">
        <v>8101</v>
      </c>
      <c r="E9" s="19" t="s">
        <v>15</v>
      </c>
      <c r="F9" s="9" t="s">
        <v>15</v>
      </c>
      <c r="G9" s="10">
        <v>1743</v>
      </c>
      <c r="H9" s="10" t="s">
        <v>15</v>
      </c>
      <c r="I9" s="11" t="s">
        <v>15</v>
      </c>
      <c r="J9" s="11">
        <v>14</v>
      </c>
      <c r="K9" s="11">
        <v>1</v>
      </c>
      <c r="L9" s="8">
        <v>8101</v>
      </c>
      <c r="M9" s="10">
        <v>1743</v>
      </c>
      <c r="N9" s="12">
        <v>45492</v>
      </c>
      <c r="O9" s="34" t="s">
        <v>13</v>
      </c>
      <c r="R9" s="17"/>
    </row>
    <row r="10" spans="1:18" s="24" customFormat="1" ht="24.95" customHeight="1">
      <c r="A10" s="17">
        <v>8</v>
      </c>
      <c r="B10" s="21">
        <v>4</v>
      </c>
      <c r="C10" s="18" t="s">
        <v>164</v>
      </c>
      <c r="D10" s="19">
        <v>7820.25</v>
      </c>
      <c r="E10" s="19">
        <v>20176.650000000001</v>
      </c>
      <c r="F10" s="20">
        <f t="shared" ref="F10:F15" si="1">(D10-E10)/E10</f>
        <v>-0.61241088089449935</v>
      </c>
      <c r="G10" s="21">
        <v>1227</v>
      </c>
      <c r="H10" s="21">
        <v>93</v>
      </c>
      <c r="I10" s="22">
        <v>15.865168539325843</v>
      </c>
      <c r="J10" s="22">
        <v>13</v>
      </c>
      <c r="K10" s="22">
        <v>2</v>
      </c>
      <c r="L10" s="19">
        <v>33747.97</v>
      </c>
      <c r="M10" s="21">
        <v>5514</v>
      </c>
      <c r="N10" s="23">
        <v>45485</v>
      </c>
      <c r="O10" s="30" t="s">
        <v>61</v>
      </c>
      <c r="R10" s="17"/>
    </row>
    <row r="11" spans="1:18" s="24" customFormat="1" ht="24.75" customHeight="1">
      <c r="A11" s="17">
        <v>9</v>
      </c>
      <c r="B11" s="21">
        <v>7</v>
      </c>
      <c r="C11" s="18" t="s">
        <v>147</v>
      </c>
      <c r="D11" s="19">
        <v>6295.85</v>
      </c>
      <c r="E11" s="19">
        <v>9775.85</v>
      </c>
      <c r="F11" s="20">
        <f t="shared" si="1"/>
        <v>-0.35597927545942293</v>
      </c>
      <c r="G11" s="21">
        <v>951</v>
      </c>
      <c r="H11" s="21">
        <v>54</v>
      </c>
      <c r="I11" s="22">
        <f>G11/H11</f>
        <v>17.611111111111111</v>
      </c>
      <c r="J11" s="22">
        <v>7</v>
      </c>
      <c r="K11" s="22">
        <v>3</v>
      </c>
      <c r="L11" s="19">
        <v>41307.379999999997</v>
      </c>
      <c r="M11" s="21">
        <v>6148</v>
      </c>
      <c r="N11" s="23">
        <v>45478</v>
      </c>
      <c r="O11" s="30" t="s">
        <v>18</v>
      </c>
      <c r="R11" s="17"/>
    </row>
    <row r="12" spans="1:18" s="24" customFormat="1" ht="24.95" customHeight="1">
      <c r="A12" s="17">
        <v>10</v>
      </c>
      <c r="B12" s="21">
        <v>6</v>
      </c>
      <c r="C12" s="18" t="s">
        <v>27</v>
      </c>
      <c r="D12" s="19">
        <v>5002.34</v>
      </c>
      <c r="E12" s="19">
        <v>9807.5400000000009</v>
      </c>
      <c r="F12" s="20">
        <f t="shared" si="1"/>
        <v>-0.48994956941292112</v>
      </c>
      <c r="G12" s="21">
        <v>917</v>
      </c>
      <c r="H12" s="21">
        <v>70</v>
      </c>
      <c r="I12" s="22">
        <f>G12/H12</f>
        <v>13.1</v>
      </c>
      <c r="J12" s="22">
        <v>9</v>
      </c>
      <c r="K12" s="22">
        <v>9</v>
      </c>
      <c r="L12" s="19">
        <v>528941.93000000005</v>
      </c>
      <c r="M12" s="21">
        <v>98017</v>
      </c>
      <c r="N12" s="23">
        <v>45436</v>
      </c>
      <c r="O12" s="30" t="s">
        <v>61</v>
      </c>
      <c r="R12" s="17"/>
    </row>
    <row r="13" spans="1:18" s="24" customFormat="1" ht="24.95" customHeight="1">
      <c r="A13" s="17">
        <v>11</v>
      </c>
      <c r="B13" s="21">
        <v>5</v>
      </c>
      <c r="C13" s="25" t="s">
        <v>154</v>
      </c>
      <c r="D13" s="19">
        <v>4392.96</v>
      </c>
      <c r="E13" s="19">
        <v>15310.76</v>
      </c>
      <c r="F13" s="20">
        <f t="shared" si="1"/>
        <v>-0.7130802128699032</v>
      </c>
      <c r="G13" s="21">
        <v>652</v>
      </c>
      <c r="H13" s="21">
        <v>65</v>
      </c>
      <c r="I13" s="22">
        <f>G13/H13</f>
        <v>10.030769230769231</v>
      </c>
      <c r="J13" s="22">
        <v>11</v>
      </c>
      <c r="K13" s="22">
        <v>2</v>
      </c>
      <c r="L13" s="19">
        <v>20203.77</v>
      </c>
      <c r="M13" s="21">
        <v>3136</v>
      </c>
      <c r="N13" s="23">
        <v>45485</v>
      </c>
      <c r="O13" s="53" t="s">
        <v>63</v>
      </c>
      <c r="R13" s="17"/>
    </row>
    <row r="14" spans="1:18" s="24" customFormat="1" ht="24.95" customHeight="1">
      <c r="A14" s="17">
        <v>12</v>
      </c>
      <c r="B14" s="21">
        <v>9</v>
      </c>
      <c r="C14" s="18" t="s">
        <v>78</v>
      </c>
      <c r="D14" s="19">
        <v>2741.57</v>
      </c>
      <c r="E14" s="19">
        <v>7735.74</v>
      </c>
      <c r="F14" s="20">
        <f t="shared" si="1"/>
        <v>-0.6455969306103877</v>
      </c>
      <c r="G14" s="21">
        <v>402</v>
      </c>
      <c r="H14" s="21">
        <v>15</v>
      </c>
      <c r="I14" s="22">
        <f>G14/H14</f>
        <v>26.8</v>
      </c>
      <c r="J14" s="22">
        <v>3</v>
      </c>
      <c r="K14" s="22">
        <v>7</v>
      </c>
      <c r="L14" s="19">
        <v>234519.67</v>
      </c>
      <c r="M14" s="21">
        <v>31714</v>
      </c>
      <c r="N14" s="23">
        <v>45450</v>
      </c>
      <c r="O14" s="30" t="s">
        <v>61</v>
      </c>
      <c r="R14" s="17"/>
    </row>
    <row r="15" spans="1:18" s="24" customFormat="1" ht="24.95" customHeight="1">
      <c r="A15" s="17">
        <v>13</v>
      </c>
      <c r="B15" s="21">
        <v>8</v>
      </c>
      <c r="C15" s="18" t="s">
        <v>153</v>
      </c>
      <c r="D15" s="19">
        <v>2079</v>
      </c>
      <c r="E15" s="19">
        <v>9369</v>
      </c>
      <c r="F15" s="20">
        <f t="shared" si="1"/>
        <v>-0.77809798270893371</v>
      </c>
      <c r="G15" s="21">
        <v>282</v>
      </c>
      <c r="H15" s="22" t="s">
        <v>15</v>
      </c>
      <c r="I15" s="22" t="s">
        <v>15</v>
      </c>
      <c r="J15" s="22">
        <v>3</v>
      </c>
      <c r="K15" s="22">
        <v>3</v>
      </c>
      <c r="L15" s="19">
        <v>31978</v>
      </c>
      <c r="M15" s="21">
        <v>4674</v>
      </c>
      <c r="N15" s="23">
        <v>45478</v>
      </c>
      <c r="O15" s="30" t="s">
        <v>13</v>
      </c>
      <c r="R15" s="17"/>
    </row>
    <row r="16" spans="1:18" s="24" customFormat="1" ht="24.95" customHeight="1">
      <c r="A16" s="17">
        <v>14</v>
      </c>
      <c r="B16" s="21" t="s">
        <v>17</v>
      </c>
      <c r="C16" s="25" t="s">
        <v>174</v>
      </c>
      <c r="D16" s="19">
        <v>1677.8</v>
      </c>
      <c r="E16" s="19" t="s">
        <v>15</v>
      </c>
      <c r="F16" s="20" t="s">
        <v>15</v>
      </c>
      <c r="G16" s="21">
        <v>265</v>
      </c>
      <c r="H16" s="21">
        <v>16</v>
      </c>
      <c r="I16" s="22">
        <f t="shared" ref="I16:I23" si="2">G16/H16</f>
        <v>16.5625</v>
      </c>
      <c r="J16" s="22">
        <v>5</v>
      </c>
      <c r="K16" s="22">
        <v>1</v>
      </c>
      <c r="L16" s="19">
        <v>1677.8</v>
      </c>
      <c r="M16" s="21">
        <v>265</v>
      </c>
      <c r="N16" s="23">
        <v>45492</v>
      </c>
      <c r="O16" s="53" t="s">
        <v>116</v>
      </c>
      <c r="R16" s="17"/>
    </row>
    <row r="17" spans="1:19" s="24" customFormat="1" ht="24.95" customHeight="1">
      <c r="A17" s="17">
        <v>15</v>
      </c>
      <c r="B17" s="21">
        <v>19</v>
      </c>
      <c r="C17" s="18" t="s">
        <v>148</v>
      </c>
      <c r="D17" s="19">
        <v>802.2</v>
      </c>
      <c r="E17" s="19">
        <v>278</v>
      </c>
      <c r="F17" s="20">
        <f>(D17-E17)/E17</f>
        <v>1.8856115107913671</v>
      </c>
      <c r="G17" s="21">
        <v>116</v>
      </c>
      <c r="H17" s="21">
        <v>5</v>
      </c>
      <c r="I17" s="22">
        <f t="shared" si="2"/>
        <v>23.2</v>
      </c>
      <c r="J17" s="22">
        <v>3</v>
      </c>
      <c r="K17" s="22">
        <v>4</v>
      </c>
      <c r="L17" s="19">
        <v>4448.1400000000003</v>
      </c>
      <c r="M17" s="21">
        <v>761</v>
      </c>
      <c r="N17" s="23">
        <v>45471</v>
      </c>
      <c r="O17" s="30" t="s">
        <v>82</v>
      </c>
      <c r="R17" s="17"/>
    </row>
    <row r="18" spans="1:19" s="59" customFormat="1" ht="24.95" customHeight="1">
      <c r="A18" s="17">
        <v>16</v>
      </c>
      <c r="B18" s="21">
        <v>18</v>
      </c>
      <c r="C18" s="18" t="s">
        <v>120</v>
      </c>
      <c r="D18" s="19">
        <v>671.8</v>
      </c>
      <c r="E18" s="19">
        <v>481.8</v>
      </c>
      <c r="F18" s="20">
        <f>(D18-E18)/E18</f>
        <v>0.39435450394354493</v>
      </c>
      <c r="G18" s="21">
        <v>112</v>
      </c>
      <c r="H18" s="21">
        <v>10</v>
      </c>
      <c r="I18" s="22">
        <f t="shared" si="2"/>
        <v>11.2</v>
      </c>
      <c r="J18" s="22">
        <v>4</v>
      </c>
      <c r="K18" s="22">
        <v>6</v>
      </c>
      <c r="L18" s="19">
        <v>21415.330000000005</v>
      </c>
      <c r="M18" s="21">
        <v>3400</v>
      </c>
      <c r="N18" s="23">
        <v>45464</v>
      </c>
      <c r="O18" s="30" t="s">
        <v>14</v>
      </c>
      <c r="R18" s="6"/>
    </row>
    <row r="19" spans="1:19" s="24" customFormat="1" ht="24.95" customHeight="1">
      <c r="A19" s="17">
        <v>17</v>
      </c>
      <c r="B19" s="21">
        <v>10</v>
      </c>
      <c r="C19" s="18" t="s">
        <v>167</v>
      </c>
      <c r="D19" s="19">
        <v>592.5</v>
      </c>
      <c r="E19" s="19">
        <v>7459.31</v>
      </c>
      <c r="F19" s="20">
        <f>(D19-E19)/E19</f>
        <v>-0.92056906067719402</v>
      </c>
      <c r="G19" s="21">
        <v>78</v>
      </c>
      <c r="H19" s="21">
        <v>10</v>
      </c>
      <c r="I19" s="22">
        <f t="shared" si="2"/>
        <v>7.8</v>
      </c>
      <c r="J19" s="22">
        <v>5</v>
      </c>
      <c r="K19" s="22">
        <v>2</v>
      </c>
      <c r="L19" s="19">
        <v>8051.81</v>
      </c>
      <c r="M19" s="21">
        <v>1213</v>
      </c>
      <c r="N19" s="23">
        <v>45485</v>
      </c>
      <c r="O19" s="30" t="s">
        <v>168</v>
      </c>
      <c r="R19" s="17"/>
    </row>
    <row r="20" spans="1:19" s="24" customFormat="1" ht="24.95" customHeight="1">
      <c r="A20" s="17">
        <v>18</v>
      </c>
      <c r="B20" s="22" t="s">
        <v>15</v>
      </c>
      <c r="C20" s="18" t="s">
        <v>179</v>
      </c>
      <c r="D20" s="19">
        <v>550</v>
      </c>
      <c r="E20" s="19" t="s">
        <v>15</v>
      </c>
      <c r="F20" s="20" t="s">
        <v>15</v>
      </c>
      <c r="G20" s="21">
        <v>222</v>
      </c>
      <c r="H20" s="21">
        <v>28</v>
      </c>
      <c r="I20" s="22">
        <f t="shared" si="2"/>
        <v>7.9285714285714288</v>
      </c>
      <c r="J20" s="22">
        <v>4</v>
      </c>
      <c r="K20" s="22" t="s">
        <v>15</v>
      </c>
      <c r="L20" s="19">
        <v>312149.55</v>
      </c>
      <c r="M20" s="21">
        <v>60411</v>
      </c>
      <c r="N20" s="23" t="s">
        <v>180</v>
      </c>
      <c r="O20" s="30" t="s">
        <v>62</v>
      </c>
      <c r="R20" s="17"/>
    </row>
    <row r="21" spans="1:19" s="24" customFormat="1" ht="24.95" customHeight="1">
      <c r="A21" s="17">
        <v>19</v>
      </c>
      <c r="B21" s="19" t="s">
        <v>15</v>
      </c>
      <c r="C21" s="18" t="s">
        <v>133</v>
      </c>
      <c r="D21" s="19">
        <v>545</v>
      </c>
      <c r="E21" s="19" t="s">
        <v>15</v>
      </c>
      <c r="F21" s="20" t="s">
        <v>15</v>
      </c>
      <c r="G21" s="21">
        <v>236</v>
      </c>
      <c r="H21" s="21">
        <v>28</v>
      </c>
      <c r="I21" s="22">
        <f t="shared" si="2"/>
        <v>8.4285714285714288</v>
      </c>
      <c r="J21" s="22">
        <v>4</v>
      </c>
      <c r="K21" s="22" t="s">
        <v>15</v>
      </c>
      <c r="L21" s="19">
        <v>154683.32999999999</v>
      </c>
      <c r="M21" s="21">
        <v>30136</v>
      </c>
      <c r="N21" s="23">
        <v>45184</v>
      </c>
      <c r="O21" s="30" t="s">
        <v>11</v>
      </c>
      <c r="R21" s="17"/>
    </row>
    <row r="22" spans="1:19" s="24" customFormat="1" ht="24.75" customHeight="1">
      <c r="A22" s="17">
        <v>20</v>
      </c>
      <c r="B22" s="21">
        <v>14</v>
      </c>
      <c r="C22" s="25" t="s">
        <v>157</v>
      </c>
      <c r="D22" s="19">
        <v>459.5</v>
      </c>
      <c r="E22" s="19">
        <v>944.93</v>
      </c>
      <c r="F22" s="20">
        <f>(D22-E22)/E22</f>
        <v>-0.51372059305980333</v>
      </c>
      <c r="G22" s="21">
        <v>68</v>
      </c>
      <c r="H22" s="21">
        <v>13</v>
      </c>
      <c r="I22" s="11">
        <f t="shared" si="2"/>
        <v>5.2307692307692308</v>
      </c>
      <c r="J22" s="22">
        <v>1</v>
      </c>
      <c r="K22" s="22">
        <v>4</v>
      </c>
      <c r="L22" s="19">
        <v>11920.89</v>
      </c>
      <c r="M22" s="21">
        <v>1951</v>
      </c>
      <c r="N22" s="23">
        <v>45471</v>
      </c>
      <c r="O22" s="53" t="s">
        <v>19</v>
      </c>
      <c r="R22" s="17"/>
    </row>
    <row r="23" spans="1:19" s="27" customFormat="1" ht="24.75" customHeight="1">
      <c r="A23" s="17">
        <v>21</v>
      </c>
      <c r="B23" s="22"/>
      <c r="C23" s="25" t="s">
        <v>41</v>
      </c>
      <c r="D23" s="28">
        <v>348.2</v>
      </c>
      <c r="E23" s="19" t="s">
        <v>15</v>
      </c>
      <c r="F23" s="20" t="s">
        <v>15</v>
      </c>
      <c r="G23" s="29">
        <v>50</v>
      </c>
      <c r="H23" s="21">
        <v>3</v>
      </c>
      <c r="I23" s="22">
        <f t="shared" si="2"/>
        <v>16.666666666666668</v>
      </c>
      <c r="J23" s="22">
        <v>2</v>
      </c>
      <c r="K23" s="22" t="s">
        <v>15</v>
      </c>
      <c r="L23" s="28">
        <v>23794.49</v>
      </c>
      <c r="M23" s="29">
        <v>3625</v>
      </c>
      <c r="N23" s="23">
        <v>45443</v>
      </c>
      <c r="O23" s="53" t="s">
        <v>19</v>
      </c>
      <c r="R23" s="17"/>
      <c r="S23" s="24"/>
    </row>
    <row r="24" spans="1:19" s="27" customFormat="1" ht="24.95" customHeight="1">
      <c r="A24" s="17">
        <v>22</v>
      </c>
      <c r="B24" s="21">
        <v>20</v>
      </c>
      <c r="C24" s="18" t="s">
        <v>143</v>
      </c>
      <c r="D24" s="19">
        <v>267</v>
      </c>
      <c r="E24" s="19">
        <v>244</v>
      </c>
      <c r="F24" s="20">
        <f>(D24-E24)/E24</f>
        <v>9.4262295081967207E-2</v>
      </c>
      <c r="G24" s="21">
        <v>42</v>
      </c>
      <c r="H24" s="22" t="s">
        <v>15</v>
      </c>
      <c r="I24" s="22" t="s">
        <v>15</v>
      </c>
      <c r="J24" s="22">
        <v>2</v>
      </c>
      <c r="K24" s="22">
        <v>4</v>
      </c>
      <c r="L24" s="19">
        <v>18073</v>
      </c>
      <c r="M24" s="21">
        <v>2868</v>
      </c>
      <c r="N24" s="23">
        <v>45471</v>
      </c>
      <c r="O24" s="30" t="s">
        <v>13</v>
      </c>
      <c r="R24" s="17"/>
      <c r="S24" s="24"/>
    </row>
    <row r="25" spans="1:19" s="27" customFormat="1" ht="24.75" customHeight="1">
      <c r="A25" s="17">
        <v>23</v>
      </c>
      <c r="B25" s="21">
        <v>24</v>
      </c>
      <c r="C25" s="25" t="s">
        <v>149</v>
      </c>
      <c r="D25" s="19">
        <v>143.4</v>
      </c>
      <c r="E25" s="19">
        <v>38.200000000000003</v>
      </c>
      <c r="F25" s="20">
        <v>-0.42480790340285396</v>
      </c>
      <c r="G25" s="21">
        <v>22</v>
      </c>
      <c r="H25" s="17">
        <v>3</v>
      </c>
      <c r="I25" s="22">
        <v>24.833333333333332</v>
      </c>
      <c r="J25" s="17">
        <v>3</v>
      </c>
      <c r="K25" s="19" t="s">
        <v>15</v>
      </c>
      <c r="L25" s="19">
        <v>213158.6</v>
      </c>
      <c r="M25" s="21">
        <v>32989</v>
      </c>
      <c r="N25" s="23">
        <v>45191</v>
      </c>
      <c r="O25" s="53" t="s">
        <v>25</v>
      </c>
    </row>
    <row r="26" spans="1:19" s="27" customFormat="1" ht="24.75" customHeight="1">
      <c r="A26" s="17">
        <v>24</v>
      </c>
      <c r="B26" s="22" t="s">
        <v>15</v>
      </c>
      <c r="C26" s="25" t="s">
        <v>84</v>
      </c>
      <c r="D26" s="28">
        <v>128</v>
      </c>
      <c r="E26" s="19" t="s">
        <v>15</v>
      </c>
      <c r="F26" s="20" t="s">
        <v>15</v>
      </c>
      <c r="G26" s="29">
        <v>22</v>
      </c>
      <c r="H26" s="21">
        <v>1</v>
      </c>
      <c r="I26" s="22">
        <v>22</v>
      </c>
      <c r="J26" s="22">
        <v>1</v>
      </c>
      <c r="K26" s="22" t="s">
        <v>15</v>
      </c>
      <c r="L26" s="28">
        <v>11834.25</v>
      </c>
      <c r="M26" s="29">
        <v>1894</v>
      </c>
      <c r="N26" s="23">
        <v>45408</v>
      </c>
      <c r="O26" s="53" t="s">
        <v>82</v>
      </c>
    </row>
    <row r="27" spans="1:19" s="27" customFormat="1" ht="24.75" customHeight="1">
      <c r="A27" s="17">
        <v>25</v>
      </c>
      <c r="B27" s="19" t="s">
        <v>15</v>
      </c>
      <c r="C27" s="18" t="s">
        <v>145</v>
      </c>
      <c r="D27" s="19">
        <v>118</v>
      </c>
      <c r="E27" s="19" t="s">
        <v>15</v>
      </c>
      <c r="F27" s="20" t="s">
        <v>15</v>
      </c>
      <c r="G27" s="21">
        <v>20</v>
      </c>
      <c r="H27" s="21">
        <v>1</v>
      </c>
      <c r="I27" s="22">
        <f>G27/H27</f>
        <v>20</v>
      </c>
      <c r="J27" s="22">
        <v>1</v>
      </c>
      <c r="K27" s="22" t="s">
        <v>15</v>
      </c>
      <c r="L27" s="19">
        <v>78231.69</v>
      </c>
      <c r="M27" s="21">
        <v>11517</v>
      </c>
      <c r="N27" s="23">
        <v>45394</v>
      </c>
      <c r="O27" s="30" t="s">
        <v>63</v>
      </c>
    </row>
    <row r="28" spans="1:19" s="27" customFormat="1" ht="24.75" customHeight="1">
      <c r="A28" s="17">
        <v>26</v>
      </c>
      <c r="B28" s="21">
        <v>13</v>
      </c>
      <c r="C28" s="18" t="s">
        <v>163</v>
      </c>
      <c r="D28" s="19">
        <v>114</v>
      </c>
      <c r="E28" s="19">
        <v>1380</v>
      </c>
      <c r="F28" s="20">
        <f>(D28-E28)/E28</f>
        <v>-0.91739130434782612</v>
      </c>
      <c r="G28" s="21">
        <v>24</v>
      </c>
      <c r="H28" s="22" t="s">
        <v>15</v>
      </c>
      <c r="I28" s="22" t="s">
        <v>15</v>
      </c>
      <c r="J28" s="22">
        <v>2</v>
      </c>
      <c r="K28" s="22">
        <v>2</v>
      </c>
      <c r="L28" s="19">
        <v>1494</v>
      </c>
      <c r="M28" s="21">
        <v>269</v>
      </c>
      <c r="N28" s="23">
        <v>45485</v>
      </c>
      <c r="O28" s="30" t="s">
        <v>13</v>
      </c>
    </row>
    <row r="29" spans="1:19" s="24" customFormat="1" ht="24.95" customHeight="1">
      <c r="A29" s="17">
        <v>27</v>
      </c>
      <c r="B29" s="19" t="s">
        <v>15</v>
      </c>
      <c r="C29" s="18" t="s">
        <v>141</v>
      </c>
      <c r="D29" s="19">
        <v>85</v>
      </c>
      <c r="E29" s="19" t="s">
        <v>15</v>
      </c>
      <c r="F29" s="20" t="s">
        <v>15</v>
      </c>
      <c r="G29" s="21">
        <v>17</v>
      </c>
      <c r="H29" s="21">
        <v>1</v>
      </c>
      <c r="I29" s="22">
        <f>G29/H29</f>
        <v>17</v>
      </c>
      <c r="J29" s="22">
        <v>1</v>
      </c>
      <c r="K29" s="22" t="s">
        <v>15</v>
      </c>
      <c r="L29" s="19">
        <v>6881.41</v>
      </c>
      <c r="M29" s="21">
        <v>1583</v>
      </c>
      <c r="N29" s="23">
        <v>45239</v>
      </c>
      <c r="O29" s="30" t="s">
        <v>14</v>
      </c>
      <c r="R29" s="17"/>
    </row>
    <row r="30" spans="1:19" s="24" customFormat="1" ht="24.95" customHeight="1">
      <c r="A30" s="17">
        <v>28</v>
      </c>
      <c r="B30" s="21">
        <v>25</v>
      </c>
      <c r="C30" s="18" t="s">
        <v>46</v>
      </c>
      <c r="D30" s="19">
        <v>62.2</v>
      </c>
      <c r="E30" s="19">
        <v>36.4</v>
      </c>
      <c r="F30" s="20">
        <v>-0.39748201438848924</v>
      </c>
      <c r="G30" s="21">
        <v>8</v>
      </c>
      <c r="H30" s="22">
        <v>3</v>
      </c>
      <c r="I30" s="22">
        <f>G30/H30</f>
        <v>2.6666666666666665</v>
      </c>
      <c r="J30" s="17">
        <v>1</v>
      </c>
      <c r="K30" s="22">
        <v>18</v>
      </c>
      <c r="L30" s="19">
        <v>68173.899999999994</v>
      </c>
      <c r="M30" s="21">
        <v>10534</v>
      </c>
      <c r="N30" s="23">
        <v>45379</v>
      </c>
      <c r="O30" s="30" t="s">
        <v>25</v>
      </c>
      <c r="R30" s="17"/>
    </row>
    <row r="31" spans="1:19" s="24" customFormat="1" ht="24.95" customHeight="1">
      <c r="A31" s="17">
        <v>29</v>
      </c>
      <c r="B31" s="22" t="s">
        <v>15</v>
      </c>
      <c r="C31" s="18" t="s">
        <v>93</v>
      </c>
      <c r="D31" s="19">
        <v>49</v>
      </c>
      <c r="E31" s="19" t="s">
        <v>15</v>
      </c>
      <c r="F31" s="20" t="s">
        <v>15</v>
      </c>
      <c r="G31" s="21">
        <v>9</v>
      </c>
      <c r="H31" s="21">
        <v>2</v>
      </c>
      <c r="I31" s="22">
        <v>4.5</v>
      </c>
      <c r="J31" s="22">
        <v>2</v>
      </c>
      <c r="K31" s="22" t="s">
        <v>15</v>
      </c>
      <c r="L31" s="19">
        <v>5492.59</v>
      </c>
      <c r="M31" s="21">
        <v>948</v>
      </c>
      <c r="N31" s="23">
        <v>45450</v>
      </c>
      <c r="O31" s="30" t="s">
        <v>82</v>
      </c>
      <c r="R31" s="17"/>
    </row>
    <row r="32" spans="1:19" s="24" customFormat="1" ht="24.95" customHeight="1">
      <c r="A32" s="17">
        <v>30</v>
      </c>
      <c r="B32" s="19" t="s">
        <v>15</v>
      </c>
      <c r="C32" s="18" t="s">
        <v>48</v>
      </c>
      <c r="D32" s="19">
        <v>44.48</v>
      </c>
      <c r="E32" s="19" t="s">
        <v>15</v>
      </c>
      <c r="F32" s="20" t="s">
        <v>15</v>
      </c>
      <c r="G32" s="21">
        <v>12</v>
      </c>
      <c r="H32" s="22">
        <v>1</v>
      </c>
      <c r="I32" s="22">
        <f>G32/H32</f>
        <v>12</v>
      </c>
      <c r="J32" s="22">
        <v>1</v>
      </c>
      <c r="K32" s="22" t="s">
        <v>15</v>
      </c>
      <c r="L32" s="19">
        <v>192090.05</v>
      </c>
      <c r="M32" s="21">
        <v>47969</v>
      </c>
      <c r="N32" s="23">
        <v>44659</v>
      </c>
      <c r="O32" s="30" t="s">
        <v>11</v>
      </c>
      <c r="R32" s="17"/>
    </row>
    <row r="33" spans="1:18" s="24" customFormat="1" ht="24.95" customHeight="1">
      <c r="A33" s="17">
        <v>31</v>
      </c>
      <c r="B33" s="22" t="s">
        <v>15</v>
      </c>
      <c r="C33" s="18" t="s">
        <v>181</v>
      </c>
      <c r="D33" s="19">
        <v>44</v>
      </c>
      <c r="E33" s="19" t="s">
        <v>15</v>
      </c>
      <c r="F33" s="20" t="s">
        <v>15</v>
      </c>
      <c r="G33" s="21">
        <v>8</v>
      </c>
      <c r="H33" s="21">
        <v>1</v>
      </c>
      <c r="I33" s="22">
        <v>8</v>
      </c>
      <c r="J33" s="22">
        <v>1</v>
      </c>
      <c r="K33" s="22" t="s">
        <v>15</v>
      </c>
      <c r="L33" s="19">
        <v>28326.74</v>
      </c>
      <c r="M33" s="21">
        <v>4549</v>
      </c>
      <c r="N33" s="23">
        <v>45012</v>
      </c>
      <c r="O33" s="30" t="s">
        <v>25</v>
      </c>
      <c r="R33" s="17"/>
    </row>
    <row r="34" spans="1:18" s="24" customFormat="1" ht="24.95" customHeight="1">
      <c r="A34" s="17">
        <v>32</v>
      </c>
      <c r="B34" s="21">
        <v>15</v>
      </c>
      <c r="C34" s="7" t="s">
        <v>171</v>
      </c>
      <c r="D34" s="8">
        <v>39</v>
      </c>
      <c r="E34" s="8">
        <v>803</v>
      </c>
      <c r="F34" s="20">
        <f>(D34-E34)/E34</f>
        <v>-0.95143212951432132</v>
      </c>
      <c r="G34" s="10">
        <v>8</v>
      </c>
      <c r="H34" s="10">
        <v>1</v>
      </c>
      <c r="I34" s="11">
        <f>G34/H34</f>
        <v>8</v>
      </c>
      <c r="J34" s="11">
        <v>1</v>
      </c>
      <c r="K34" s="11" t="s">
        <v>15</v>
      </c>
      <c r="L34" s="19">
        <v>57558</v>
      </c>
      <c r="M34" s="21">
        <v>9106</v>
      </c>
      <c r="N34" s="12">
        <v>45254</v>
      </c>
      <c r="O34" s="31" t="s">
        <v>25</v>
      </c>
      <c r="R34" s="17"/>
    </row>
    <row r="35" spans="1:18" s="24" customFormat="1" ht="24.95" customHeight="1">
      <c r="A35" s="17">
        <v>33</v>
      </c>
      <c r="B35" s="19" t="s">
        <v>15</v>
      </c>
      <c r="C35" s="25" t="s">
        <v>94</v>
      </c>
      <c r="D35" s="19">
        <v>32.5</v>
      </c>
      <c r="E35" s="19" t="s">
        <v>15</v>
      </c>
      <c r="F35" s="20" t="s">
        <v>15</v>
      </c>
      <c r="G35" s="21">
        <v>14</v>
      </c>
      <c r="H35" s="21">
        <v>3</v>
      </c>
      <c r="I35" s="22">
        <f>G35/H35</f>
        <v>4.666666666666667</v>
      </c>
      <c r="J35" s="22">
        <v>1</v>
      </c>
      <c r="K35" s="22" t="s">
        <v>15</v>
      </c>
      <c r="L35" s="19">
        <v>6110.2099999999991</v>
      </c>
      <c r="M35" s="21">
        <v>1403</v>
      </c>
      <c r="N35" s="23">
        <v>45422</v>
      </c>
      <c r="O35" s="53" t="s">
        <v>95</v>
      </c>
      <c r="R35" s="17"/>
    </row>
    <row r="36" spans="1:18" s="24" customFormat="1" ht="24.95" customHeight="1">
      <c r="A36" s="17">
        <v>34</v>
      </c>
      <c r="B36" s="21">
        <v>21</v>
      </c>
      <c r="C36" s="18" t="s">
        <v>34</v>
      </c>
      <c r="D36" s="19">
        <v>32</v>
      </c>
      <c r="E36" s="19">
        <v>192.8</v>
      </c>
      <c r="F36" s="20">
        <f>(D36-E36)/E36</f>
        <v>-0.8340248962655602</v>
      </c>
      <c r="G36" s="21">
        <v>6</v>
      </c>
      <c r="H36" s="21">
        <v>2</v>
      </c>
      <c r="I36" s="22">
        <f>G36/H36</f>
        <v>3</v>
      </c>
      <c r="J36" s="22">
        <v>1</v>
      </c>
      <c r="K36" s="22">
        <v>7</v>
      </c>
      <c r="L36" s="19">
        <v>10061.400000000001</v>
      </c>
      <c r="M36" s="21">
        <v>1452</v>
      </c>
      <c r="N36" s="23">
        <v>45450</v>
      </c>
      <c r="O36" s="30" t="s">
        <v>14</v>
      </c>
      <c r="R36" s="17"/>
    </row>
    <row r="37" spans="1:18" s="24" customFormat="1" ht="24.95" customHeight="1">
      <c r="A37" s="17">
        <v>35</v>
      </c>
      <c r="B37" s="21">
        <v>26</v>
      </c>
      <c r="C37" s="18" t="s">
        <v>115</v>
      </c>
      <c r="D37" s="19">
        <v>23</v>
      </c>
      <c r="E37" s="19">
        <v>33.200000000000003</v>
      </c>
      <c r="F37" s="20">
        <f>(D37-E37)/E37</f>
        <v>-0.30722891566265065</v>
      </c>
      <c r="G37" s="21">
        <v>6</v>
      </c>
      <c r="H37" s="21">
        <v>3</v>
      </c>
      <c r="I37" s="22">
        <f>G37/H37</f>
        <v>2</v>
      </c>
      <c r="J37" s="22">
        <v>2</v>
      </c>
      <c r="K37" s="22">
        <v>6</v>
      </c>
      <c r="L37" s="19">
        <v>2346.58</v>
      </c>
      <c r="M37" s="21">
        <v>406</v>
      </c>
      <c r="N37" s="23">
        <v>45457</v>
      </c>
      <c r="O37" s="30" t="s">
        <v>116</v>
      </c>
      <c r="R37" s="17"/>
    </row>
    <row r="38" spans="1:18" s="24" customFormat="1" ht="24.95" customHeight="1">
      <c r="A38" s="17">
        <v>36</v>
      </c>
      <c r="B38" s="21">
        <v>23</v>
      </c>
      <c r="C38" s="18" t="s">
        <v>131</v>
      </c>
      <c r="D38" s="19">
        <v>18</v>
      </c>
      <c r="E38" s="19">
        <v>158</v>
      </c>
      <c r="F38" s="20">
        <f>(D38-E38)/E38</f>
        <v>-0.88607594936708856</v>
      </c>
      <c r="G38" s="21">
        <v>4</v>
      </c>
      <c r="H38" s="21">
        <v>2</v>
      </c>
      <c r="I38" s="22">
        <v>3.7151898734177213</v>
      </c>
      <c r="J38" s="22">
        <v>1</v>
      </c>
      <c r="K38" s="22">
        <v>4</v>
      </c>
      <c r="L38" s="19">
        <v>4459.55</v>
      </c>
      <c r="M38" s="21">
        <v>745</v>
      </c>
      <c r="N38" s="23">
        <v>45471</v>
      </c>
      <c r="O38" s="30" t="s">
        <v>11</v>
      </c>
      <c r="R38" s="17"/>
    </row>
    <row r="39" spans="1:18" ht="24.75" customHeight="1">
      <c r="A39" s="46"/>
      <c r="B39" s="57" t="s">
        <v>26</v>
      </c>
      <c r="C39" s="48" t="s">
        <v>90</v>
      </c>
      <c r="D39" s="49">
        <f>SUBTOTAL(109,Table13245678910[Pajamos 
(GBO)])</f>
        <v>436982.75000000006</v>
      </c>
      <c r="E39" s="49" t="s">
        <v>182</v>
      </c>
      <c r="F39" s="50">
        <f t="shared" ref="F39" si="3">(D39-E39)/E39</f>
        <v>3.2324001889912732E-2</v>
      </c>
      <c r="G39" s="52">
        <f>SUBTOTAL(109,Table13245678910[Žiūrovų sk. 
(ADM)])</f>
        <v>68205</v>
      </c>
      <c r="H39" s="57"/>
      <c r="I39" s="46"/>
      <c r="J39" s="46"/>
      <c r="K39" s="46"/>
      <c r="L39" s="54"/>
      <c r="M39" s="46"/>
      <c r="N39" s="46"/>
      <c r="O39" s="46" t="s">
        <v>26</v>
      </c>
    </row>
    <row r="40" spans="1:18" s="27" customFormat="1" ht="24.75" hidden="1" customHeight="1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8" s="27" customFormat="1" ht="24.75" hidden="1" customHeight="1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8" s="27" customFormat="1" ht="24.95" hidden="1" customHeight="1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8" s="27" customFormat="1" ht="24.95" hidden="1" customHeight="1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8" s="27" customFormat="1" ht="24.95" hidden="1" customHeight="1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8" s="62" customFormat="1" ht="24.95" hidden="1" customHeight="1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8" s="27" customFormat="1" ht="24.95" hidden="1" customHeight="1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8" s="27" customFormat="1" ht="24.95" hidden="1" customHeight="1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  <row r="48" spans="1:18" s="62" customFormat="1" ht="24.95" hidden="1" customHeight="1">
      <c r="A48" s="1"/>
      <c r="B48" s="58"/>
      <c r="C48" s="1"/>
      <c r="D48" s="1"/>
      <c r="E48" s="43"/>
      <c r="F48" s="37"/>
      <c r="G48" s="1"/>
      <c r="H48" s="58"/>
      <c r="I48" s="1"/>
      <c r="J48" s="1"/>
      <c r="K48" s="1"/>
      <c r="L48" s="43"/>
      <c r="M48" s="1"/>
      <c r="N48" s="1"/>
      <c r="O48" s="1"/>
    </row>
    <row r="49" spans="1:15" s="62" customFormat="1" ht="24.95" hidden="1" customHeight="1">
      <c r="A49" s="1"/>
      <c r="B49" s="58"/>
      <c r="C49" s="1"/>
      <c r="D49" s="1"/>
      <c r="E49" s="43"/>
      <c r="F49" s="37"/>
      <c r="G49" s="1"/>
      <c r="H49" s="58"/>
      <c r="I49" s="1"/>
      <c r="J49" s="1"/>
      <c r="K49" s="1"/>
      <c r="L49" s="43"/>
      <c r="M49" s="1"/>
      <c r="N49" s="1"/>
      <c r="O49" s="1"/>
    </row>
    <row r="50" spans="1:15" s="62" customFormat="1" ht="24.95" hidden="1" customHeight="1">
      <c r="A50" s="1"/>
      <c r="B50" s="58"/>
      <c r="C50" s="1"/>
      <c r="D50" s="1"/>
      <c r="E50" s="43"/>
      <c r="F50" s="37"/>
      <c r="G50" s="1"/>
      <c r="H50" s="58"/>
      <c r="I50" s="1"/>
      <c r="J50" s="1"/>
      <c r="K50" s="1"/>
      <c r="L50" s="43"/>
      <c r="M50" s="1"/>
      <c r="N50" s="1"/>
      <c r="O50" s="1"/>
    </row>
    <row r="51" spans="1:15" s="62" customFormat="1" ht="24.95" hidden="1" customHeight="1">
      <c r="A51" s="1"/>
      <c r="B51" s="58"/>
      <c r="C51" s="1"/>
      <c r="D51" s="1"/>
      <c r="E51" s="43"/>
      <c r="F51" s="37"/>
      <c r="G51" s="1"/>
      <c r="H51" s="58"/>
      <c r="I51" s="1"/>
      <c r="J51" s="1"/>
      <c r="K51" s="1"/>
      <c r="L51" s="43"/>
      <c r="M51" s="1"/>
      <c r="N51" s="1"/>
      <c r="O51" s="1"/>
    </row>
    <row r="52" spans="1:15" s="62" customFormat="1" ht="24.95" hidden="1" customHeight="1">
      <c r="A52" s="1"/>
      <c r="B52" s="58"/>
      <c r="C52" s="1"/>
      <c r="D52" s="1"/>
      <c r="E52" s="43"/>
      <c r="F52" s="37"/>
      <c r="G52" s="1"/>
      <c r="H52" s="58"/>
      <c r="I52" s="1"/>
      <c r="J52" s="1"/>
      <c r="K52" s="1"/>
      <c r="L52" s="43"/>
      <c r="M52" s="1"/>
      <c r="N52" s="1"/>
      <c r="O52" s="1"/>
    </row>
    <row r="53" spans="1:15" s="62" customFormat="1" ht="24.95" hidden="1" customHeight="1">
      <c r="A53" s="1"/>
      <c r="B53" s="58"/>
      <c r="C53" s="1"/>
      <c r="D53" s="1"/>
      <c r="E53" s="43"/>
      <c r="F53" s="37"/>
      <c r="G53" s="1"/>
      <c r="H53" s="58"/>
      <c r="I53" s="1"/>
      <c r="J53" s="1"/>
      <c r="K53" s="1"/>
      <c r="L53" s="43"/>
      <c r="M53" s="1"/>
      <c r="N53" s="1"/>
      <c r="O53" s="1"/>
    </row>
    <row r="54" spans="1:15" s="62" customFormat="1" ht="24.95" hidden="1" customHeight="1">
      <c r="A54" s="1"/>
      <c r="B54" s="58"/>
      <c r="C54" s="1"/>
      <c r="D54" s="1"/>
      <c r="E54" s="43"/>
      <c r="F54" s="37"/>
      <c r="G54" s="1"/>
      <c r="H54" s="58"/>
      <c r="I54" s="1"/>
      <c r="J54" s="1"/>
      <c r="K54" s="1"/>
      <c r="L54" s="43"/>
      <c r="M54" s="1"/>
      <c r="N54" s="1"/>
      <c r="O54" s="1"/>
    </row>
    <row r="55" spans="1:15" s="62" customFormat="1" ht="24.95" hidden="1" customHeight="1">
      <c r="A55" s="1"/>
      <c r="B55" s="58"/>
      <c r="C55" s="1"/>
      <c r="D55" s="1"/>
      <c r="E55" s="43"/>
      <c r="F55" s="37"/>
      <c r="G55" s="1"/>
      <c r="H55" s="58"/>
      <c r="I55" s="1"/>
      <c r="J55" s="1"/>
      <c r="K55" s="1"/>
      <c r="L55" s="43"/>
      <c r="M55" s="1"/>
      <c r="N55" s="1"/>
      <c r="O55" s="1"/>
    </row>
    <row r="56" spans="1:15" s="44" customFormat="1" ht="24.95" hidden="1" customHeight="1">
      <c r="A56" s="1"/>
      <c r="B56" s="58"/>
      <c r="C56" s="1"/>
      <c r="D56" s="1"/>
      <c r="E56" s="43"/>
      <c r="F56" s="37"/>
      <c r="G56" s="1"/>
      <c r="H56" s="58"/>
      <c r="I56" s="1"/>
      <c r="J56" s="1"/>
      <c r="K56" s="1"/>
      <c r="L56" s="43"/>
      <c r="M56" s="1"/>
      <c r="N56" s="1"/>
      <c r="O56" s="1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D664C-0632-44BE-BD4D-C3A17C8170DF}">
  <sheetPr>
    <pageSetUpPr fitToPage="1"/>
  </sheetPr>
  <dimension ref="A1:XFC48"/>
  <sheetViews>
    <sheetView topLeftCell="A2" zoomScale="60" zoomScaleNormal="60" workbookViewId="0">
      <selection activeCell="C18" sqref="C18:O18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3" t="s">
        <v>162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22">
        <v>1</v>
      </c>
      <c r="C3" s="18" t="s">
        <v>146</v>
      </c>
      <c r="D3" s="19">
        <v>219529.3</v>
      </c>
      <c r="E3" s="19">
        <v>281554.65999999997</v>
      </c>
      <c r="F3" s="20">
        <f>(D3-E3)/E3</f>
        <v>-0.22029598089408284</v>
      </c>
      <c r="G3" s="21">
        <v>37598</v>
      </c>
      <c r="H3" s="21">
        <v>717</v>
      </c>
      <c r="I3" s="22">
        <f>G3/H3</f>
        <v>52.437935843793582</v>
      </c>
      <c r="J3" s="22">
        <v>29</v>
      </c>
      <c r="K3" s="22">
        <v>2</v>
      </c>
      <c r="L3" s="19">
        <v>576976.39</v>
      </c>
      <c r="M3" s="21">
        <v>98116</v>
      </c>
      <c r="N3" s="23">
        <v>45478</v>
      </c>
      <c r="O3" s="30" t="s">
        <v>63</v>
      </c>
    </row>
    <row r="4" spans="1:18" s="24" customFormat="1" ht="24.95" customHeight="1">
      <c r="A4" s="17">
        <v>2</v>
      </c>
      <c r="B4" s="22">
        <v>2</v>
      </c>
      <c r="C4" s="25" t="s">
        <v>106</v>
      </c>
      <c r="D4" s="19">
        <v>83860.33</v>
      </c>
      <c r="E4" s="19">
        <v>99940.06</v>
      </c>
      <c r="F4" s="20">
        <f>(D4-E4)/E4</f>
        <v>-0.1608937397075807</v>
      </c>
      <c r="G4" s="21">
        <v>15181</v>
      </c>
      <c r="H4" s="21">
        <v>371</v>
      </c>
      <c r="I4" s="22">
        <f>G4/H4</f>
        <v>40.919137466307276</v>
      </c>
      <c r="J4" s="22">
        <v>21</v>
      </c>
      <c r="K4" s="22">
        <v>5</v>
      </c>
      <c r="L4" s="19">
        <v>1016235.74</v>
      </c>
      <c r="M4" s="21">
        <v>172692</v>
      </c>
      <c r="N4" s="23">
        <v>45457</v>
      </c>
      <c r="O4" s="30" t="s">
        <v>18</v>
      </c>
    </row>
    <row r="5" spans="1:18" s="24" customFormat="1" ht="24.95" customHeight="1">
      <c r="A5" s="17">
        <v>3</v>
      </c>
      <c r="B5" s="22">
        <v>3</v>
      </c>
      <c r="C5" s="25" t="s">
        <v>136</v>
      </c>
      <c r="D5" s="19">
        <v>28799.03</v>
      </c>
      <c r="E5" s="19">
        <v>37942.49</v>
      </c>
      <c r="F5" s="20">
        <f>(D5-E5)/E5</f>
        <v>-0.24098207576782651</v>
      </c>
      <c r="G5" s="21">
        <v>4541</v>
      </c>
      <c r="H5" s="21">
        <v>169</v>
      </c>
      <c r="I5" s="22">
        <f>G5/H5</f>
        <v>26.869822485207102</v>
      </c>
      <c r="J5" s="22">
        <v>12</v>
      </c>
      <c r="K5" s="22">
        <v>3</v>
      </c>
      <c r="L5" s="19">
        <v>137998.46</v>
      </c>
      <c r="M5" s="21">
        <v>19306</v>
      </c>
      <c r="N5" s="23">
        <v>45471</v>
      </c>
      <c r="O5" s="53" t="s">
        <v>62</v>
      </c>
      <c r="R5" s="17"/>
    </row>
    <row r="6" spans="1:18" s="24" customFormat="1" ht="24.95" customHeight="1">
      <c r="A6" s="17">
        <v>4</v>
      </c>
      <c r="B6" s="22" t="s">
        <v>17</v>
      </c>
      <c r="C6" s="7" t="s">
        <v>164</v>
      </c>
      <c r="D6" s="8">
        <v>20176.650000000001</v>
      </c>
      <c r="E6" s="19" t="s">
        <v>15</v>
      </c>
      <c r="F6" s="9" t="s">
        <v>15</v>
      </c>
      <c r="G6" s="10">
        <v>3218</v>
      </c>
      <c r="H6" s="10">
        <v>199</v>
      </c>
      <c r="I6" s="11">
        <v>15.865168539325843</v>
      </c>
      <c r="J6" s="11">
        <v>19</v>
      </c>
      <c r="K6" s="11">
        <v>1</v>
      </c>
      <c r="L6" s="19">
        <v>25627.62</v>
      </c>
      <c r="M6" s="21">
        <v>4239</v>
      </c>
      <c r="N6" s="12">
        <v>45485</v>
      </c>
      <c r="O6" s="31" t="s">
        <v>61</v>
      </c>
      <c r="R6" s="17"/>
    </row>
    <row r="7" spans="1:18" s="24" customFormat="1" ht="24.95" customHeight="1">
      <c r="A7" s="17">
        <v>5</v>
      </c>
      <c r="B7" s="22" t="s">
        <v>17</v>
      </c>
      <c r="C7" s="25" t="s">
        <v>154</v>
      </c>
      <c r="D7" s="19">
        <v>15310.76</v>
      </c>
      <c r="E7" s="19" t="s">
        <v>15</v>
      </c>
      <c r="F7" s="20" t="s">
        <v>15</v>
      </c>
      <c r="G7" s="21">
        <v>2415</v>
      </c>
      <c r="H7" s="21">
        <v>204</v>
      </c>
      <c r="I7" s="22">
        <f>G7/H7</f>
        <v>11.838235294117647</v>
      </c>
      <c r="J7" s="22">
        <v>17</v>
      </c>
      <c r="K7" s="22">
        <v>1</v>
      </c>
      <c r="L7" s="19">
        <v>15810.81</v>
      </c>
      <c r="M7" s="21">
        <v>2484</v>
      </c>
      <c r="N7" s="23">
        <v>45485</v>
      </c>
      <c r="O7" s="53" t="s">
        <v>63</v>
      </c>
      <c r="R7" s="17"/>
    </row>
    <row r="8" spans="1:18" s="24" customFormat="1" ht="24.95" customHeight="1">
      <c r="A8" s="17">
        <v>6</v>
      </c>
      <c r="B8" s="22">
        <v>7</v>
      </c>
      <c r="C8" s="18" t="s">
        <v>27</v>
      </c>
      <c r="D8" s="19">
        <v>9807.5400000000009</v>
      </c>
      <c r="E8" s="19">
        <v>7941.83</v>
      </c>
      <c r="F8" s="20">
        <f>(D8-E8)/E8</f>
        <v>0.23492192605482629</v>
      </c>
      <c r="G8" s="21">
        <v>1861</v>
      </c>
      <c r="H8" s="21">
        <v>85</v>
      </c>
      <c r="I8" s="22">
        <f>G8/H8</f>
        <v>21.894117647058824</v>
      </c>
      <c r="J8" s="22">
        <v>9</v>
      </c>
      <c r="K8" s="22">
        <v>8</v>
      </c>
      <c r="L8" s="19">
        <v>523909.59</v>
      </c>
      <c r="M8" s="21">
        <v>97090</v>
      </c>
      <c r="N8" s="23">
        <v>45436</v>
      </c>
      <c r="O8" s="30" t="s">
        <v>61</v>
      </c>
      <c r="R8" s="17"/>
    </row>
    <row r="9" spans="1:18" s="24" customFormat="1" ht="24.95" customHeight="1">
      <c r="A9" s="17">
        <v>7</v>
      </c>
      <c r="B9" s="22">
        <v>5</v>
      </c>
      <c r="C9" s="18" t="s">
        <v>147</v>
      </c>
      <c r="D9" s="19">
        <v>9775.85</v>
      </c>
      <c r="E9" s="19">
        <v>19465.68</v>
      </c>
      <c r="F9" s="20">
        <f>(D9-E9)/E9</f>
        <v>-0.49779047020191436</v>
      </c>
      <c r="G9" s="21">
        <v>1553</v>
      </c>
      <c r="H9" s="21">
        <v>88</v>
      </c>
      <c r="I9" s="22">
        <f>G9/H9</f>
        <v>17.647727272727273</v>
      </c>
      <c r="J9" s="22">
        <v>9</v>
      </c>
      <c r="K9" s="22">
        <v>2</v>
      </c>
      <c r="L9" s="19">
        <v>35011.53</v>
      </c>
      <c r="M9" s="21">
        <v>5197</v>
      </c>
      <c r="N9" s="23">
        <v>45478</v>
      </c>
      <c r="O9" s="30" t="s">
        <v>18</v>
      </c>
      <c r="R9" s="17"/>
    </row>
    <row r="10" spans="1:18" s="24" customFormat="1" ht="24.95" customHeight="1">
      <c r="A10" s="17">
        <v>8</v>
      </c>
      <c r="B10" s="22">
        <v>4</v>
      </c>
      <c r="C10" s="18" t="s">
        <v>153</v>
      </c>
      <c r="D10" s="19">
        <v>9369</v>
      </c>
      <c r="E10" s="19">
        <v>20530</v>
      </c>
      <c r="F10" s="20">
        <f>(D10-E10)/E10</f>
        <v>-0.54364344861178759</v>
      </c>
      <c r="G10" s="21">
        <v>1395</v>
      </c>
      <c r="H10" s="22" t="s">
        <v>15</v>
      </c>
      <c r="I10" s="22" t="s">
        <v>15</v>
      </c>
      <c r="J10" s="22">
        <v>10</v>
      </c>
      <c r="K10" s="22">
        <v>2</v>
      </c>
      <c r="L10" s="19">
        <v>29899</v>
      </c>
      <c r="M10" s="21">
        <v>4392</v>
      </c>
      <c r="N10" s="23">
        <v>45478</v>
      </c>
      <c r="O10" s="30" t="s">
        <v>13</v>
      </c>
      <c r="R10" s="17"/>
    </row>
    <row r="11" spans="1:18" s="24" customFormat="1" ht="24.75" customHeight="1">
      <c r="A11" s="17">
        <v>9</v>
      </c>
      <c r="B11" s="22">
        <v>6</v>
      </c>
      <c r="C11" s="18" t="s">
        <v>78</v>
      </c>
      <c r="D11" s="19">
        <v>7735.74</v>
      </c>
      <c r="E11" s="19">
        <v>14469.67</v>
      </c>
      <c r="F11" s="20">
        <f>(D11-E11)/E11</f>
        <v>-0.46538241715256812</v>
      </c>
      <c r="G11" s="21">
        <v>1232</v>
      </c>
      <c r="H11" s="21">
        <v>45</v>
      </c>
      <c r="I11" s="22">
        <f>G11/H11</f>
        <v>27.377777777777776</v>
      </c>
      <c r="J11" s="22">
        <v>5</v>
      </c>
      <c r="K11" s="22">
        <v>6</v>
      </c>
      <c r="L11" s="19">
        <v>231778.1</v>
      </c>
      <c r="M11" s="21">
        <v>31312</v>
      </c>
      <c r="N11" s="23">
        <v>45450</v>
      </c>
      <c r="O11" s="30" t="s">
        <v>61</v>
      </c>
      <c r="R11" s="17"/>
    </row>
    <row r="12" spans="1:18" s="24" customFormat="1" ht="24.95" customHeight="1">
      <c r="A12" s="17">
        <v>10</v>
      </c>
      <c r="B12" s="22" t="s">
        <v>17</v>
      </c>
      <c r="C12" s="7" t="s">
        <v>167</v>
      </c>
      <c r="D12" s="8">
        <v>7459.31</v>
      </c>
      <c r="E12" s="19" t="s">
        <v>15</v>
      </c>
      <c r="F12" s="9" t="s">
        <v>15</v>
      </c>
      <c r="G12" s="10">
        <v>1135</v>
      </c>
      <c r="H12" s="10">
        <v>111</v>
      </c>
      <c r="I12" s="11">
        <f>G12/H12</f>
        <v>10.225225225225225</v>
      </c>
      <c r="J12" s="11">
        <v>12</v>
      </c>
      <c r="K12" s="11">
        <v>1</v>
      </c>
      <c r="L12" s="19">
        <v>7459.31</v>
      </c>
      <c r="M12" s="21">
        <v>1135</v>
      </c>
      <c r="N12" s="12">
        <v>45485</v>
      </c>
      <c r="O12" s="31" t="s">
        <v>168</v>
      </c>
      <c r="R12" s="17"/>
    </row>
    <row r="13" spans="1:18" s="24" customFormat="1" ht="24.95" customHeight="1">
      <c r="A13" s="17">
        <v>11</v>
      </c>
      <c r="B13" s="22" t="s">
        <v>23</v>
      </c>
      <c r="C13" s="7" t="s">
        <v>165</v>
      </c>
      <c r="D13" s="8">
        <v>2923</v>
      </c>
      <c r="E13" s="19" t="s">
        <v>15</v>
      </c>
      <c r="F13" s="9" t="s">
        <v>15</v>
      </c>
      <c r="G13" s="10">
        <v>423</v>
      </c>
      <c r="H13" s="10">
        <v>9</v>
      </c>
      <c r="I13" s="11">
        <f>G13/H13</f>
        <v>47</v>
      </c>
      <c r="J13" s="11">
        <v>7</v>
      </c>
      <c r="K13" s="11">
        <v>0</v>
      </c>
      <c r="L13" s="19">
        <v>2923</v>
      </c>
      <c r="M13" s="21">
        <v>423</v>
      </c>
      <c r="N13" s="12" t="s">
        <v>24</v>
      </c>
      <c r="O13" s="31" t="s">
        <v>66</v>
      </c>
      <c r="R13" s="17"/>
    </row>
    <row r="14" spans="1:18" s="24" customFormat="1" ht="24.95" customHeight="1">
      <c r="A14" s="17">
        <v>12</v>
      </c>
      <c r="B14" s="22" t="s">
        <v>23</v>
      </c>
      <c r="C14" s="7" t="s">
        <v>166</v>
      </c>
      <c r="D14" s="8">
        <v>2544.7600000000002</v>
      </c>
      <c r="E14" s="19" t="s">
        <v>15</v>
      </c>
      <c r="F14" s="9" t="s">
        <v>15</v>
      </c>
      <c r="G14" s="10">
        <v>353</v>
      </c>
      <c r="H14" s="10">
        <v>10</v>
      </c>
      <c r="I14" s="11">
        <f>G14/H14</f>
        <v>35.299999999999997</v>
      </c>
      <c r="J14" s="11">
        <v>9</v>
      </c>
      <c r="K14" s="11">
        <v>0</v>
      </c>
      <c r="L14" s="19">
        <v>2544.7600000000002</v>
      </c>
      <c r="M14" s="21">
        <v>353</v>
      </c>
      <c r="N14" s="12" t="s">
        <v>24</v>
      </c>
      <c r="O14" s="31" t="s">
        <v>66</v>
      </c>
      <c r="R14" s="17"/>
    </row>
    <row r="15" spans="1:18" s="24" customFormat="1" ht="24.95" customHeight="1">
      <c r="A15" s="17">
        <v>13</v>
      </c>
      <c r="B15" s="22" t="s">
        <v>17</v>
      </c>
      <c r="C15" s="7" t="s">
        <v>163</v>
      </c>
      <c r="D15" s="8">
        <v>1380</v>
      </c>
      <c r="E15" s="19" t="s">
        <v>15</v>
      </c>
      <c r="F15" s="9" t="s">
        <v>15</v>
      </c>
      <c r="G15" s="10">
        <v>245</v>
      </c>
      <c r="H15" s="10" t="s">
        <v>15</v>
      </c>
      <c r="I15" s="11" t="s">
        <v>15</v>
      </c>
      <c r="J15" s="11">
        <v>9</v>
      </c>
      <c r="K15" s="11">
        <v>1</v>
      </c>
      <c r="L15" s="19">
        <v>1380</v>
      </c>
      <c r="M15" s="21">
        <v>245</v>
      </c>
      <c r="N15" s="12">
        <v>45485</v>
      </c>
      <c r="O15" s="31" t="s">
        <v>13</v>
      </c>
      <c r="R15" s="17"/>
    </row>
    <row r="16" spans="1:18" s="59" customFormat="1" ht="24.95" customHeight="1">
      <c r="A16" s="17">
        <v>14</v>
      </c>
      <c r="B16" s="22">
        <v>10</v>
      </c>
      <c r="C16" s="25" t="s">
        <v>157</v>
      </c>
      <c r="D16" s="19">
        <v>944.93</v>
      </c>
      <c r="E16" s="19">
        <v>2460.5700000000002</v>
      </c>
      <c r="F16" s="20">
        <v>-0.65246587807097367</v>
      </c>
      <c r="G16" s="21">
        <v>162</v>
      </c>
      <c r="H16" s="21">
        <v>16</v>
      </c>
      <c r="I16" s="22">
        <v>11.615384615384615</v>
      </c>
      <c r="J16" s="22">
        <v>3</v>
      </c>
      <c r="K16" s="22">
        <v>3</v>
      </c>
      <c r="L16" s="19">
        <v>11461.39</v>
      </c>
      <c r="M16" s="21">
        <v>1883</v>
      </c>
      <c r="N16" s="23">
        <v>45471</v>
      </c>
      <c r="O16" s="53" t="s">
        <v>19</v>
      </c>
      <c r="R16" s="6"/>
    </row>
    <row r="17" spans="1:19" s="24" customFormat="1" ht="24.95" customHeight="1">
      <c r="A17" s="17">
        <v>15</v>
      </c>
      <c r="B17" s="22" t="s">
        <v>15</v>
      </c>
      <c r="C17" s="7" t="s">
        <v>171</v>
      </c>
      <c r="D17" s="8">
        <v>803</v>
      </c>
      <c r="E17" s="19" t="s">
        <v>15</v>
      </c>
      <c r="F17" s="9" t="s">
        <v>15</v>
      </c>
      <c r="G17" s="10">
        <v>118</v>
      </c>
      <c r="H17" s="10">
        <v>1</v>
      </c>
      <c r="I17" s="11">
        <f>G17/H17</f>
        <v>118</v>
      </c>
      <c r="J17" s="11">
        <v>1</v>
      </c>
      <c r="K17" s="11" t="s">
        <v>15</v>
      </c>
      <c r="L17" s="19">
        <v>57519</v>
      </c>
      <c r="M17" s="21">
        <v>9098</v>
      </c>
      <c r="N17" s="12">
        <v>45254</v>
      </c>
      <c r="O17" s="31" t="s">
        <v>25</v>
      </c>
      <c r="R17" s="17"/>
    </row>
    <row r="18" spans="1:19" s="59" customFormat="1" ht="24.95" customHeight="1">
      <c r="A18" s="17">
        <v>16</v>
      </c>
      <c r="B18" s="19" t="s">
        <v>15</v>
      </c>
      <c r="C18" s="7" t="s">
        <v>170</v>
      </c>
      <c r="D18" s="8">
        <v>688.5</v>
      </c>
      <c r="E18" s="19" t="s">
        <v>15</v>
      </c>
      <c r="F18" s="9" t="s">
        <v>15</v>
      </c>
      <c r="G18" s="10">
        <v>313</v>
      </c>
      <c r="H18" s="10">
        <v>28</v>
      </c>
      <c r="I18" s="11">
        <f>G18/H18</f>
        <v>11.178571428571429</v>
      </c>
      <c r="J18" s="11">
        <v>4</v>
      </c>
      <c r="K18" s="11" t="s">
        <v>15</v>
      </c>
      <c r="L18" s="19">
        <v>1055614.93</v>
      </c>
      <c r="M18" s="21">
        <v>197145</v>
      </c>
      <c r="N18" s="12">
        <v>44916</v>
      </c>
      <c r="O18" s="31" t="s">
        <v>63</v>
      </c>
      <c r="R18" s="6"/>
    </row>
    <row r="19" spans="1:19" s="24" customFormat="1" ht="24.95" customHeight="1">
      <c r="A19" s="17">
        <v>17</v>
      </c>
      <c r="B19" s="19" t="s">
        <v>15</v>
      </c>
      <c r="C19" s="7" t="s">
        <v>169</v>
      </c>
      <c r="D19" s="8">
        <v>529.5</v>
      </c>
      <c r="E19" s="19" t="s">
        <v>15</v>
      </c>
      <c r="F19" s="9" t="s">
        <v>15</v>
      </c>
      <c r="G19" s="10">
        <v>228</v>
      </c>
      <c r="H19" s="10">
        <v>28</v>
      </c>
      <c r="I19" s="11">
        <f>G19/H19</f>
        <v>8.1428571428571423</v>
      </c>
      <c r="J19" s="11">
        <v>4</v>
      </c>
      <c r="K19" s="11" t="s">
        <v>15</v>
      </c>
      <c r="L19" s="19">
        <v>1344823.64</v>
      </c>
      <c r="M19" s="21">
        <v>250371</v>
      </c>
      <c r="N19" s="12">
        <v>44743</v>
      </c>
      <c r="O19" s="31" t="s">
        <v>63</v>
      </c>
      <c r="R19" s="17"/>
    </row>
    <row r="20" spans="1:19" s="24" customFormat="1" ht="24.95" customHeight="1">
      <c r="A20" s="17">
        <v>18</v>
      </c>
      <c r="B20" s="22">
        <v>12</v>
      </c>
      <c r="C20" s="18" t="s">
        <v>120</v>
      </c>
      <c r="D20" s="19">
        <v>481.8</v>
      </c>
      <c r="E20" s="19">
        <v>1046.7</v>
      </c>
      <c r="F20" s="20">
        <f t="shared" ref="F20:F25" si="0">(D20-E20)/E20</f>
        <v>-0.53969618801948993</v>
      </c>
      <c r="G20" s="21">
        <v>77</v>
      </c>
      <c r="H20" s="21">
        <v>7</v>
      </c>
      <c r="I20" s="22">
        <f>G20/H20</f>
        <v>11</v>
      </c>
      <c r="J20" s="22">
        <v>4</v>
      </c>
      <c r="K20" s="22">
        <v>5</v>
      </c>
      <c r="L20" s="19">
        <v>20743.530000000002</v>
      </c>
      <c r="M20" s="21">
        <v>3288</v>
      </c>
      <c r="N20" s="23">
        <v>45464</v>
      </c>
      <c r="O20" s="30" t="s">
        <v>14</v>
      </c>
      <c r="R20" s="17"/>
    </row>
    <row r="21" spans="1:19" s="24" customFormat="1" ht="24.95" customHeight="1">
      <c r="A21" s="17">
        <v>19</v>
      </c>
      <c r="B21" s="22">
        <v>11</v>
      </c>
      <c r="C21" s="18" t="s">
        <v>148</v>
      </c>
      <c r="D21" s="19">
        <v>278</v>
      </c>
      <c r="E21" s="19">
        <v>1261.2</v>
      </c>
      <c r="F21" s="20">
        <f t="shared" si="0"/>
        <v>-0.77957500792895651</v>
      </c>
      <c r="G21" s="21">
        <v>52</v>
      </c>
      <c r="H21" s="21">
        <v>5</v>
      </c>
      <c r="I21" s="22">
        <f>G21/H21</f>
        <v>10.4</v>
      </c>
      <c r="J21" s="22">
        <v>2</v>
      </c>
      <c r="K21" s="22">
        <v>3</v>
      </c>
      <c r="L21" s="19">
        <v>3645.94</v>
      </c>
      <c r="M21" s="21">
        <v>645</v>
      </c>
      <c r="N21" s="23">
        <v>45471</v>
      </c>
      <c r="O21" s="30" t="s">
        <v>82</v>
      </c>
      <c r="R21" s="17"/>
    </row>
    <row r="22" spans="1:19" s="24" customFormat="1" ht="24.75" customHeight="1">
      <c r="A22" s="17">
        <v>20</v>
      </c>
      <c r="B22" s="22">
        <v>9</v>
      </c>
      <c r="C22" s="18" t="s">
        <v>143</v>
      </c>
      <c r="D22" s="19">
        <v>244</v>
      </c>
      <c r="E22" s="19">
        <v>2936</v>
      </c>
      <c r="F22" s="20">
        <f t="shared" si="0"/>
        <v>-0.9168937329700273</v>
      </c>
      <c r="G22" s="21">
        <v>40</v>
      </c>
      <c r="H22" s="22" t="s">
        <v>15</v>
      </c>
      <c r="I22" s="22" t="s">
        <v>15</v>
      </c>
      <c r="J22" s="22">
        <v>2</v>
      </c>
      <c r="K22" s="22">
        <v>3</v>
      </c>
      <c r="L22" s="19">
        <v>17806</v>
      </c>
      <c r="M22" s="21">
        <v>2826</v>
      </c>
      <c r="N22" s="23">
        <v>45471</v>
      </c>
      <c r="O22" s="30" t="s">
        <v>13</v>
      </c>
      <c r="R22" s="17"/>
    </row>
    <row r="23" spans="1:19" s="27" customFormat="1" ht="24.75" customHeight="1">
      <c r="A23" s="17">
        <v>21</v>
      </c>
      <c r="B23" s="22">
        <v>18</v>
      </c>
      <c r="C23" s="18" t="s">
        <v>34</v>
      </c>
      <c r="D23" s="19">
        <v>192.8</v>
      </c>
      <c r="E23" s="19">
        <v>292.39999999999998</v>
      </c>
      <c r="F23" s="20">
        <f t="shared" si="0"/>
        <v>-0.3406292749658002</v>
      </c>
      <c r="G23" s="21">
        <v>29</v>
      </c>
      <c r="H23" s="21">
        <v>5</v>
      </c>
      <c r="I23" s="22">
        <f>G23/H23</f>
        <v>5.8</v>
      </c>
      <c r="J23" s="22">
        <v>3</v>
      </c>
      <c r="K23" s="22">
        <v>6</v>
      </c>
      <c r="L23" s="19">
        <v>10029.400000000001</v>
      </c>
      <c r="M23" s="21">
        <v>1446</v>
      </c>
      <c r="N23" s="23">
        <v>45450</v>
      </c>
      <c r="O23" s="30" t="s">
        <v>14</v>
      </c>
      <c r="R23" s="17"/>
      <c r="S23" s="24"/>
    </row>
    <row r="24" spans="1:19" s="27" customFormat="1" ht="24.95" customHeight="1">
      <c r="A24" s="17">
        <v>22</v>
      </c>
      <c r="B24" s="22">
        <v>20</v>
      </c>
      <c r="C24" s="18" t="s">
        <v>38</v>
      </c>
      <c r="D24" s="28">
        <v>163.4</v>
      </c>
      <c r="E24" s="28">
        <v>112</v>
      </c>
      <c r="F24" s="20">
        <f t="shared" si="0"/>
        <v>0.45892857142857146</v>
      </c>
      <c r="G24" s="29">
        <v>22</v>
      </c>
      <c r="H24" s="21">
        <v>4</v>
      </c>
      <c r="I24" s="22">
        <f>G24/H24</f>
        <v>5.5</v>
      </c>
      <c r="J24" s="22">
        <v>2</v>
      </c>
      <c r="K24" s="22">
        <v>7</v>
      </c>
      <c r="L24" s="28">
        <v>5580.71</v>
      </c>
      <c r="M24" s="29">
        <v>930</v>
      </c>
      <c r="N24" s="23">
        <v>45443</v>
      </c>
      <c r="O24" s="30" t="s">
        <v>64</v>
      </c>
      <c r="R24" s="17"/>
      <c r="S24" s="24"/>
    </row>
    <row r="25" spans="1:19" ht="24.75" customHeight="1">
      <c r="A25" s="17">
        <v>23</v>
      </c>
      <c r="B25" s="22">
        <v>17</v>
      </c>
      <c r="C25" s="18" t="s">
        <v>131</v>
      </c>
      <c r="D25" s="19">
        <v>158</v>
      </c>
      <c r="E25" s="19">
        <v>478.38</v>
      </c>
      <c r="F25" s="20">
        <f t="shared" si="0"/>
        <v>-0.66971863372214557</v>
      </c>
      <c r="G25" s="21">
        <v>28</v>
      </c>
      <c r="H25" s="21">
        <v>2</v>
      </c>
      <c r="I25" s="22">
        <v>3.7151898734177213</v>
      </c>
      <c r="J25" s="22">
        <v>2</v>
      </c>
      <c r="K25" s="22">
        <v>3</v>
      </c>
      <c r="L25" s="19">
        <v>4417.55</v>
      </c>
      <c r="M25" s="21">
        <v>737</v>
      </c>
      <c r="N25" s="23">
        <v>45471</v>
      </c>
      <c r="O25" s="30" t="s">
        <v>11</v>
      </c>
    </row>
    <row r="26" spans="1:19" ht="24.75" customHeight="1">
      <c r="A26" s="17">
        <v>24</v>
      </c>
      <c r="B26" s="17">
        <v>21</v>
      </c>
      <c r="C26" s="25" t="s">
        <v>149</v>
      </c>
      <c r="D26" s="19">
        <v>38.200000000000003</v>
      </c>
      <c r="E26" s="19">
        <v>104.8</v>
      </c>
      <c r="F26" s="20">
        <v>-0.42480790340285396</v>
      </c>
      <c r="G26" s="21">
        <v>5</v>
      </c>
      <c r="H26" s="17">
        <v>1</v>
      </c>
      <c r="I26" s="22">
        <f>G26/H26</f>
        <v>5</v>
      </c>
      <c r="J26" s="17">
        <v>1</v>
      </c>
      <c r="K26" s="19" t="s">
        <v>15</v>
      </c>
      <c r="L26" s="19">
        <v>212935.2</v>
      </c>
      <c r="M26" s="21">
        <v>32957</v>
      </c>
      <c r="N26" s="23">
        <v>45191</v>
      </c>
      <c r="O26" s="53" t="s">
        <v>25</v>
      </c>
    </row>
    <row r="27" spans="1:19" s="27" customFormat="1" ht="24.75" customHeight="1">
      <c r="A27" s="17">
        <v>25</v>
      </c>
      <c r="B27" s="17">
        <v>23</v>
      </c>
      <c r="C27" s="18" t="s">
        <v>46</v>
      </c>
      <c r="D27" s="19">
        <v>36.4</v>
      </c>
      <c r="E27" s="19">
        <v>67</v>
      </c>
      <c r="F27" s="20">
        <v>-0.39748201438848924</v>
      </c>
      <c r="G27" s="21">
        <v>7</v>
      </c>
      <c r="H27" s="22">
        <v>1</v>
      </c>
      <c r="I27" s="22">
        <f>G27/H27</f>
        <v>7</v>
      </c>
      <c r="J27" s="17">
        <v>1</v>
      </c>
      <c r="K27" s="22">
        <v>17</v>
      </c>
      <c r="L27" s="19">
        <v>68081.5</v>
      </c>
      <c r="M27" s="21">
        <v>10522</v>
      </c>
      <c r="N27" s="23">
        <v>45379</v>
      </c>
      <c r="O27" s="30" t="s">
        <v>25</v>
      </c>
    </row>
    <row r="28" spans="1:19" ht="24.75" customHeight="1">
      <c r="A28" s="17">
        <v>26</v>
      </c>
      <c r="B28" s="22">
        <v>27</v>
      </c>
      <c r="C28" s="18" t="s">
        <v>115</v>
      </c>
      <c r="D28" s="19">
        <v>33.200000000000003</v>
      </c>
      <c r="E28" s="19">
        <v>22</v>
      </c>
      <c r="F28" s="20">
        <f>(D28-E28)/E28</f>
        <v>0.50909090909090926</v>
      </c>
      <c r="G28" s="21">
        <v>5</v>
      </c>
      <c r="H28" s="21">
        <v>4</v>
      </c>
      <c r="I28" s="22">
        <f>G28/H28</f>
        <v>1.25</v>
      </c>
      <c r="J28" s="22">
        <v>2</v>
      </c>
      <c r="K28" s="22">
        <v>5</v>
      </c>
      <c r="L28" s="19">
        <v>2317.58</v>
      </c>
      <c r="M28" s="21">
        <v>397</v>
      </c>
      <c r="N28" s="23">
        <v>45457</v>
      </c>
      <c r="O28" s="30" t="s">
        <v>116</v>
      </c>
    </row>
    <row r="29" spans="1:19" s="24" customFormat="1" ht="24.95" customHeight="1">
      <c r="A29" s="17">
        <v>27</v>
      </c>
      <c r="B29" s="22">
        <v>13</v>
      </c>
      <c r="C29" s="18" t="s">
        <v>79</v>
      </c>
      <c r="D29" s="19">
        <v>30.5</v>
      </c>
      <c r="E29" s="19">
        <v>589.80999999999995</v>
      </c>
      <c r="F29" s="20">
        <f>(D29-E29)/E29</f>
        <v>-0.94828843186788969</v>
      </c>
      <c r="G29" s="21">
        <v>5</v>
      </c>
      <c r="H29" s="21">
        <v>1</v>
      </c>
      <c r="I29" s="22">
        <f>G29/H29</f>
        <v>5</v>
      </c>
      <c r="J29" s="22">
        <v>1</v>
      </c>
      <c r="K29" s="22">
        <v>6</v>
      </c>
      <c r="L29" s="19">
        <v>62218.45</v>
      </c>
      <c r="M29" s="21">
        <v>9700</v>
      </c>
      <c r="N29" s="23">
        <v>45450</v>
      </c>
      <c r="O29" s="30" t="s">
        <v>12</v>
      </c>
      <c r="R29" s="17"/>
    </row>
    <row r="30" spans="1:19" s="24" customFormat="1" ht="24.95" customHeight="1">
      <c r="A30" s="17">
        <v>28</v>
      </c>
      <c r="B30" s="22">
        <v>22</v>
      </c>
      <c r="C30" s="25" t="s">
        <v>73</v>
      </c>
      <c r="D30" s="19">
        <v>6</v>
      </c>
      <c r="E30" s="19">
        <v>99</v>
      </c>
      <c r="F30" s="20">
        <f>(D30-E30)/E30</f>
        <v>-0.93939393939393945</v>
      </c>
      <c r="G30" s="21">
        <v>2</v>
      </c>
      <c r="H30" s="21">
        <v>3</v>
      </c>
      <c r="I30" s="22">
        <f>G30/H30</f>
        <v>0.66666666666666663</v>
      </c>
      <c r="J30" s="22">
        <v>1</v>
      </c>
      <c r="K30" s="22">
        <v>7</v>
      </c>
      <c r="L30" s="19">
        <v>1772.3</v>
      </c>
      <c r="M30" s="21">
        <v>529</v>
      </c>
      <c r="N30" s="23">
        <v>45443</v>
      </c>
      <c r="O30" s="53" t="s">
        <v>68</v>
      </c>
      <c r="R30" s="17"/>
    </row>
    <row r="31" spans="1:19" ht="24.75" customHeight="1">
      <c r="A31" s="46"/>
      <c r="B31" s="57" t="s">
        <v>26</v>
      </c>
      <c r="C31" s="48" t="s">
        <v>173</v>
      </c>
      <c r="D31" s="49">
        <f>SUM(Table132456789[Pajamos 
(GBO)])</f>
        <v>423299.50000000006</v>
      </c>
      <c r="E31" s="49" t="s">
        <v>172</v>
      </c>
      <c r="F31" s="50">
        <f t="shared" ref="F31" si="1">(D31-E31)/E31</f>
        <v>-0.1509676733518262</v>
      </c>
      <c r="G31" s="52">
        <f>SUM(Table132456789[Žiūrovų sk. 
(ADM)])</f>
        <v>72243</v>
      </c>
      <c r="H31" s="57"/>
      <c r="I31" s="46"/>
      <c r="J31" s="46"/>
      <c r="K31" s="46"/>
      <c r="L31" s="54"/>
      <c r="M31" s="46"/>
      <c r="N31" s="46"/>
      <c r="O31" s="46" t="s">
        <v>26</v>
      </c>
    </row>
    <row r="32" spans="1:19" s="27" customFormat="1" ht="24.75" hidden="1" customHeight="1">
      <c r="A32" s="1"/>
      <c r="B32" s="58"/>
      <c r="C32" s="1"/>
      <c r="D32" s="1"/>
      <c r="E32" s="43"/>
      <c r="F32" s="37"/>
      <c r="G32" s="1"/>
      <c r="H32" s="58"/>
      <c r="I32" s="1"/>
      <c r="J32" s="1"/>
      <c r="K32" s="1"/>
      <c r="L32" s="43"/>
      <c r="M32" s="1"/>
      <c r="N32" s="1"/>
      <c r="O32" s="1"/>
    </row>
    <row r="33" spans="1:15" s="27" customFormat="1" ht="24.75" hidden="1" customHeight="1">
      <c r="A33" s="1"/>
      <c r="B33" s="58"/>
      <c r="C33" s="1"/>
      <c r="D33" s="1"/>
      <c r="E33" s="43"/>
      <c r="F33" s="37"/>
      <c r="G33" s="1"/>
      <c r="H33" s="58"/>
      <c r="I33" s="1"/>
      <c r="J33" s="1"/>
      <c r="K33" s="1"/>
      <c r="L33" s="43"/>
      <c r="M33" s="1"/>
      <c r="N33" s="1"/>
      <c r="O33" s="1"/>
    </row>
    <row r="34" spans="1:15" s="27" customFormat="1" ht="24.95" hidden="1" customHeight="1">
      <c r="A34" s="1"/>
      <c r="B34" s="58"/>
      <c r="C34" s="1"/>
      <c r="D34" s="1"/>
      <c r="E34" s="43"/>
      <c r="F34" s="37"/>
      <c r="G34" s="1"/>
      <c r="H34" s="58"/>
      <c r="I34" s="1"/>
      <c r="J34" s="1"/>
      <c r="K34" s="1"/>
      <c r="L34" s="43"/>
      <c r="M34" s="1"/>
      <c r="N34" s="1"/>
      <c r="O34" s="1"/>
    </row>
    <row r="35" spans="1:15" s="27" customFormat="1" ht="24.95" hidden="1" customHeight="1">
      <c r="A35" s="1"/>
      <c r="B35" s="58"/>
      <c r="C35" s="1"/>
      <c r="D35" s="1"/>
      <c r="E35" s="43"/>
      <c r="F35" s="37"/>
      <c r="G35" s="1"/>
      <c r="H35" s="58"/>
      <c r="I35" s="1"/>
      <c r="J35" s="1"/>
      <c r="K35" s="1"/>
      <c r="L35" s="43"/>
      <c r="M35" s="1"/>
      <c r="N35" s="1"/>
      <c r="O35" s="1"/>
    </row>
    <row r="36" spans="1:15" s="27" customFormat="1" ht="24.95" hidden="1" customHeight="1">
      <c r="A36" s="1"/>
      <c r="B36" s="58"/>
      <c r="C36" s="1"/>
      <c r="D36" s="1"/>
      <c r="E36" s="43"/>
      <c r="F36" s="37"/>
      <c r="G36" s="1"/>
      <c r="H36" s="58"/>
      <c r="I36" s="1"/>
      <c r="J36" s="1"/>
      <c r="K36" s="1"/>
      <c r="L36" s="43"/>
      <c r="M36" s="1"/>
      <c r="N36" s="1"/>
      <c r="O36" s="1"/>
    </row>
    <row r="37" spans="1:15" s="62" customFormat="1" ht="24.95" hidden="1" customHeight="1">
      <c r="A37" s="1"/>
      <c r="B37" s="58"/>
      <c r="C37" s="1"/>
      <c r="D37" s="1"/>
      <c r="E37" s="43"/>
      <c r="F37" s="37"/>
      <c r="G37" s="1"/>
      <c r="H37" s="58"/>
      <c r="I37" s="1"/>
      <c r="J37" s="1"/>
      <c r="K37" s="1"/>
      <c r="L37" s="43"/>
      <c r="M37" s="1"/>
      <c r="N37" s="1"/>
      <c r="O37" s="1"/>
    </row>
    <row r="38" spans="1:15" s="27" customFormat="1" ht="24.95" hidden="1" customHeight="1">
      <c r="A38" s="1"/>
      <c r="B38" s="58"/>
      <c r="C38" s="1"/>
      <c r="D38" s="1"/>
      <c r="E38" s="43"/>
      <c r="F38" s="37"/>
      <c r="G38" s="1"/>
      <c r="H38" s="58"/>
      <c r="I38" s="1"/>
      <c r="J38" s="1"/>
      <c r="K38" s="1"/>
      <c r="L38" s="43"/>
      <c r="M38" s="1"/>
      <c r="N38" s="1"/>
      <c r="O38" s="1"/>
    </row>
    <row r="39" spans="1:15" s="27" customFormat="1" ht="24.95" hidden="1" customHeight="1">
      <c r="A39" s="1"/>
      <c r="B39" s="58"/>
      <c r="C39" s="1"/>
      <c r="D39" s="1"/>
      <c r="E39" s="43"/>
      <c r="F39" s="37"/>
      <c r="G39" s="1"/>
      <c r="H39" s="58"/>
      <c r="I39" s="1"/>
      <c r="J39" s="1"/>
      <c r="K39" s="1"/>
      <c r="L39" s="43"/>
      <c r="M39" s="1"/>
      <c r="N39" s="1"/>
      <c r="O39" s="1"/>
    </row>
    <row r="40" spans="1:15" s="62" customFormat="1" ht="24.95" hidden="1" customHeight="1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5" s="62" customFormat="1" ht="24.95" hidden="1" customHeight="1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5" s="62" customFormat="1" ht="24.95" hidden="1" customHeight="1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5" s="62" customFormat="1" ht="24.95" hidden="1" customHeight="1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5" s="62" customFormat="1" ht="24.95" hidden="1" customHeight="1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5" s="62" customFormat="1" ht="24.95" hidden="1" customHeight="1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5" s="62" customFormat="1" ht="24.95" hidden="1" customHeight="1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5" s="62" customFormat="1" ht="24.95" hidden="1" customHeight="1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  <row r="48" spans="1:15" s="44" customFormat="1" ht="24.95" hidden="1" customHeight="1">
      <c r="A48" s="1"/>
      <c r="B48" s="58"/>
      <c r="C48" s="1"/>
      <c r="D48" s="1"/>
      <c r="E48" s="43"/>
      <c r="F48" s="37"/>
      <c r="G48" s="1"/>
      <c r="H48" s="58"/>
      <c r="I48" s="1"/>
      <c r="J48" s="1"/>
      <c r="K48" s="1"/>
      <c r="L48" s="43"/>
      <c r="M48" s="1"/>
      <c r="N48" s="1"/>
      <c r="O48" s="1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59EDC-B0F0-4095-8ABC-F0187129115A}">
  <sheetPr>
    <pageSetUpPr fitToPage="1"/>
  </sheetPr>
  <dimension ref="A1:XFC47"/>
  <sheetViews>
    <sheetView zoomScale="60" zoomScaleNormal="60" workbookViewId="0">
      <selection activeCell="C27" sqref="C27:O27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3" t="s">
        <v>161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6">
        <v>1</v>
      </c>
      <c r="B3" s="22" t="s">
        <v>17</v>
      </c>
      <c r="C3" s="7" t="s">
        <v>146</v>
      </c>
      <c r="D3" s="8">
        <v>281554.65999999997</v>
      </c>
      <c r="E3" s="19" t="s">
        <v>15</v>
      </c>
      <c r="F3" s="20" t="s">
        <v>15</v>
      </c>
      <c r="G3" s="10">
        <v>47418</v>
      </c>
      <c r="H3" s="10">
        <v>840</v>
      </c>
      <c r="I3" s="11">
        <f>G3/H3</f>
        <v>56.45</v>
      </c>
      <c r="J3" s="11">
        <v>31</v>
      </c>
      <c r="K3" s="11">
        <v>1</v>
      </c>
      <c r="L3" s="19">
        <v>357447.09</v>
      </c>
      <c r="M3" s="21">
        <v>60518</v>
      </c>
      <c r="N3" s="12">
        <v>45478</v>
      </c>
      <c r="O3" s="31" t="s">
        <v>63</v>
      </c>
    </row>
    <row r="4" spans="1:18" s="24" customFormat="1" ht="24.95" customHeight="1">
      <c r="A4" s="17">
        <v>2</v>
      </c>
      <c r="B4" s="22">
        <v>1</v>
      </c>
      <c r="C4" s="25" t="s">
        <v>106</v>
      </c>
      <c r="D4" s="19">
        <v>99940.06</v>
      </c>
      <c r="E4" s="19">
        <v>145432.85</v>
      </c>
      <c r="F4" s="20">
        <f>(D4-E4)/E4</f>
        <v>-0.3128095887552228</v>
      </c>
      <c r="G4" s="21">
        <v>17270</v>
      </c>
      <c r="H4" s="21">
        <v>392</v>
      </c>
      <c r="I4" s="22">
        <f>G4/H4</f>
        <v>44.056122448979593</v>
      </c>
      <c r="J4" s="22">
        <v>21</v>
      </c>
      <c r="K4" s="22">
        <v>4</v>
      </c>
      <c r="L4" s="19">
        <v>932375.41</v>
      </c>
      <c r="M4" s="21">
        <v>157511</v>
      </c>
      <c r="N4" s="23">
        <v>45457</v>
      </c>
      <c r="O4" s="30" t="s">
        <v>18</v>
      </c>
    </row>
    <row r="5" spans="1:18" s="24" customFormat="1" ht="24.95" customHeight="1">
      <c r="A5" s="6">
        <v>3</v>
      </c>
      <c r="B5" s="22">
        <v>3</v>
      </c>
      <c r="C5" s="25" t="s">
        <v>136</v>
      </c>
      <c r="D5" s="19">
        <v>37942.49</v>
      </c>
      <c r="E5" s="19">
        <v>66834.58</v>
      </c>
      <c r="F5" s="9">
        <f>(D5-E5)/E5</f>
        <v>-0.43229253479261787</v>
      </c>
      <c r="G5" s="21">
        <v>5221</v>
      </c>
      <c r="H5" s="21">
        <v>210</v>
      </c>
      <c r="I5" s="22">
        <f>G5/H5</f>
        <v>24.861904761904761</v>
      </c>
      <c r="J5" s="22">
        <v>15</v>
      </c>
      <c r="K5" s="22">
        <v>2</v>
      </c>
      <c r="L5" s="19">
        <v>109199.43</v>
      </c>
      <c r="M5" s="21">
        <v>14765</v>
      </c>
      <c r="N5" s="23">
        <v>45471</v>
      </c>
      <c r="O5" s="53" t="s">
        <v>62</v>
      </c>
      <c r="R5" s="17"/>
    </row>
    <row r="6" spans="1:18" s="24" customFormat="1" ht="24.95" customHeight="1">
      <c r="A6" s="17">
        <v>4</v>
      </c>
      <c r="B6" s="22" t="s">
        <v>17</v>
      </c>
      <c r="C6" s="7" t="s">
        <v>153</v>
      </c>
      <c r="D6" s="8">
        <v>20530</v>
      </c>
      <c r="E6" s="19" t="s">
        <v>15</v>
      </c>
      <c r="F6" s="9" t="s">
        <v>15</v>
      </c>
      <c r="G6" s="10">
        <v>2997</v>
      </c>
      <c r="H6" s="10" t="s">
        <v>15</v>
      </c>
      <c r="I6" s="11" t="s">
        <v>15</v>
      </c>
      <c r="J6" s="11">
        <v>13</v>
      </c>
      <c r="K6" s="11">
        <v>1</v>
      </c>
      <c r="L6" s="19">
        <v>20530</v>
      </c>
      <c r="M6" s="21">
        <v>2997</v>
      </c>
      <c r="N6" s="12">
        <v>45478</v>
      </c>
      <c r="O6" s="31" t="s">
        <v>13</v>
      </c>
      <c r="R6" s="17"/>
    </row>
    <row r="7" spans="1:18" s="24" customFormat="1" ht="24.95" customHeight="1">
      <c r="A7" s="6">
        <v>5</v>
      </c>
      <c r="B7" s="22" t="s">
        <v>17</v>
      </c>
      <c r="C7" s="7" t="s">
        <v>147</v>
      </c>
      <c r="D7" s="8">
        <v>19465.68</v>
      </c>
      <c r="E7" s="19">
        <v>5770</v>
      </c>
      <c r="F7" s="20">
        <f>(D7-E7)/E7</f>
        <v>2.3736013864818024</v>
      </c>
      <c r="G7" s="10">
        <v>2776</v>
      </c>
      <c r="H7" s="10">
        <v>165</v>
      </c>
      <c r="I7" s="11">
        <f>G7/H7</f>
        <v>16.824242424242424</v>
      </c>
      <c r="J7" s="11">
        <v>16</v>
      </c>
      <c r="K7" s="11">
        <v>1</v>
      </c>
      <c r="L7" s="19">
        <v>25235.68</v>
      </c>
      <c r="M7" s="21">
        <v>3644</v>
      </c>
      <c r="N7" s="12">
        <v>45478</v>
      </c>
      <c r="O7" s="31" t="s">
        <v>18</v>
      </c>
      <c r="R7" s="17"/>
    </row>
    <row r="8" spans="1:18" s="24" customFormat="1" ht="24.95" customHeight="1">
      <c r="A8" s="17">
        <v>6</v>
      </c>
      <c r="B8" s="22">
        <v>4</v>
      </c>
      <c r="C8" s="18" t="s">
        <v>78</v>
      </c>
      <c r="D8" s="19">
        <v>14469.67</v>
      </c>
      <c r="E8" s="19">
        <v>20360.95</v>
      </c>
      <c r="F8" s="20">
        <f>(D8-E8)/E8</f>
        <v>-0.2893420984777233</v>
      </c>
      <c r="G8" s="21">
        <v>2074</v>
      </c>
      <c r="H8" s="21">
        <v>115</v>
      </c>
      <c r="I8" s="22">
        <f>G8/H8</f>
        <v>18.034782608695654</v>
      </c>
      <c r="J8" s="22">
        <v>8</v>
      </c>
      <c r="K8" s="22">
        <v>5</v>
      </c>
      <c r="L8" s="19">
        <v>224075.66</v>
      </c>
      <c r="M8" s="21">
        <v>30085</v>
      </c>
      <c r="N8" s="23">
        <v>45450</v>
      </c>
      <c r="O8" s="30" t="s">
        <v>61</v>
      </c>
      <c r="R8" s="17"/>
    </row>
    <row r="9" spans="1:18" s="24" customFormat="1" ht="24.95" customHeight="1">
      <c r="A9" s="6">
        <v>7</v>
      </c>
      <c r="B9" s="22">
        <v>5</v>
      </c>
      <c r="C9" s="18" t="s">
        <v>27</v>
      </c>
      <c r="D9" s="8">
        <v>7941.83</v>
      </c>
      <c r="E9" s="19">
        <v>19179.310000000001</v>
      </c>
      <c r="F9" s="20">
        <f>(D9-E9)/E9</f>
        <v>-0.58591680305495875</v>
      </c>
      <c r="G9" s="21">
        <v>1492</v>
      </c>
      <c r="H9" s="21">
        <v>113</v>
      </c>
      <c r="I9" s="22">
        <f>G9/H9</f>
        <v>13.20353982300885</v>
      </c>
      <c r="J9" s="22">
        <v>10</v>
      </c>
      <c r="K9" s="22">
        <v>7</v>
      </c>
      <c r="L9" s="19">
        <v>514101.45</v>
      </c>
      <c r="M9" s="21">
        <v>95229</v>
      </c>
      <c r="N9" s="23">
        <v>45436</v>
      </c>
      <c r="O9" s="30" t="s">
        <v>61</v>
      </c>
      <c r="R9" s="17"/>
    </row>
    <row r="10" spans="1:18" s="24" customFormat="1" ht="24.95" customHeight="1">
      <c r="A10" s="17">
        <v>8</v>
      </c>
      <c r="B10" s="22" t="s">
        <v>23</v>
      </c>
      <c r="C10" s="7" t="s">
        <v>152</v>
      </c>
      <c r="D10" s="8">
        <v>5450.97</v>
      </c>
      <c r="E10" s="19" t="s">
        <v>15</v>
      </c>
      <c r="F10" s="9" t="s">
        <v>15</v>
      </c>
      <c r="G10" s="10">
        <v>1021</v>
      </c>
      <c r="H10" s="10">
        <v>15</v>
      </c>
      <c r="I10" s="11">
        <f>G10/H10</f>
        <v>68.066666666666663</v>
      </c>
      <c r="J10" s="11">
        <v>9</v>
      </c>
      <c r="K10" s="11">
        <v>0</v>
      </c>
      <c r="L10" s="19">
        <v>5450.97</v>
      </c>
      <c r="M10" s="21">
        <v>1021</v>
      </c>
      <c r="N10" s="12" t="s">
        <v>24</v>
      </c>
      <c r="O10" s="31" t="s">
        <v>61</v>
      </c>
      <c r="R10" s="17"/>
    </row>
    <row r="11" spans="1:18" s="24" customFormat="1" ht="24.75" customHeight="1">
      <c r="A11" s="6">
        <v>9</v>
      </c>
      <c r="B11" s="22">
        <v>6</v>
      </c>
      <c r="C11" s="7" t="s">
        <v>143</v>
      </c>
      <c r="D11" s="8">
        <v>2936</v>
      </c>
      <c r="E11" s="19">
        <v>9686</v>
      </c>
      <c r="F11" s="20">
        <f>(D11-E11)/E11</f>
        <v>-0.69688209787321909</v>
      </c>
      <c r="G11" s="10">
        <v>479</v>
      </c>
      <c r="H11" s="10" t="s">
        <v>15</v>
      </c>
      <c r="I11" s="11" t="s">
        <v>15</v>
      </c>
      <c r="J11" s="11">
        <v>11</v>
      </c>
      <c r="K11" s="11">
        <v>2</v>
      </c>
      <c r="L11" s="19">
        <v>17562</v>
      </c>
      <c r="M11" s="21">
        <v>2786</v>
      </c>
      <c r="N11" s="12">
        <v>45471</v>
      </c>
      <c r="O11" s="31" t="s">
        <v>13</v>
      </c>
      <c r="R11" s="17"/>
    </row>
    <row r="12" spans="1:18" s="24" customFormat="1" ht="24.95" customHeight="1">
      <c r="A12" s="17">
        <v>10</v>
      </c>
      <c r="B12" s="22">
        <v>7</v>
      </c>
      <c r="C12" s="25" t="s">
        <v>157</v>
      </c>
      <c r="D12" s="19">
        <v>2460.5700000000002</v>
      </c>
      <c r="E12" s="19">
        <v>8055.89</v>
      </c>
      <c r="F12" s="20">
        <v>-0.65246587807097367</v>
      </c>
      <c r="G12" s="21">
        <v>363</v>
      </c>
      <c r="H12" s="21">
        <v>28</v>
      </c>
      <c r="I12" s="22">
        <v>11.615384615384615</v>
      </c>
      <c r="J12" s="22">
        <v>4</v>
      </c>
      <c r="K12" s="22">
        <v>2</v>
      </c>
      <c r="L12" s="19">
        <v>10516.46</v>
      </c>
      <c r="M12" s="21">
        <v>1721</v>
      </c>
      <c r="N12" s="23">
        <v>45471</v>
      </c>
      <c r="O12" s="53" t="s">
        <v>19</v>
      </c>
      <c r="R12" s="17"/>
    </row>
    <row r="13" spans="1:18" s="24" customFormat="1" ht="24.95" customHeight="1">
      <c r="A13" s="6">
        <v>11</v>
      </c>
      <c r="B13" s="22">
        <v>11</v>
      </c>
      <c r="C13" s="18" t="s">
        <v>148</v>
      </c>
      <c r="D13" s="19">
        <v>1261.2</v>
      </c>
      <c r="E13" s="19">
        <v>2106.7399999999998</v>
      </c>
      <c r="F13" s="20">
        <f>(D13-E13)/E13</f>
        <v>-0.40134995300796483</v>
      </c>
      <c r="G13" s="21">
        <v>243</v>
      </c>
      <c r="H13" s="21">
        <v>14</v>
      </c>
      <c r="I13" s="11">
        <f t="shared" ref="I13:I18" si="0">G13/H13</f>
        <v>17.357142857142858</v>
      </c>
      <c r="J13" s="22">
        <v>5</v>
      </c>
      <c r="K13" s="22">
        <v>2</v>
      </c>
      <c r="L13" s="19">
        <v>3367.94</v>
      </c>
      <c r="M13" s="21">
        <v>593</v>
      </c>
      <c r="N13" s="23">
        <v>45471</v>
      </c>
      <c r="O13" s="31" t="s">
        <v>82</v>
      </c>
      <c r="R13" s="17"/>
    </row>
    <row r="14" spans="1:18" s="24" customFormat="1" ht="24.95" customHeight="1">
      <c r="A14" s="17">
        <v>12</v>
      </c>
      <c r="B14" s="11">
        <v>10</v>
      </c>
      <c r="C14" s="7" t="s">
        <v>120</v>
      </c>
      <c r="D14" s="8">
        <v>1046.7</v>
      </c>
      <c r="E14" s="8">
        <v>2480.91</v>
      </c>
      <c r="F14" s="20">
        <f>(D14-E14)/E14</f>
        <v>-0.5780983590698574</v>
      </c>
      <c r="G14" s="10">
        <v>171</v>
      </c>
      <c r="H14" s="10">
        <v>19</v>
      </c>
      <c r="I14" s="11">
        <f t="shared" si="0"/>
        <v>9</v>
      </c>
      <c r="J14" s="11">
        <v>5</v>
      </c>
      <c r="K14" s="11">
        <v>4</v>
      </c>
      <c r="L14" s="19">
        <v>20261.73</v>
      </c>
      <c r="M14" s="21">
        <v>3211</v>
      </c>
      <c r="N14" s="12">
        <v>45464</v>
      </c>
      <c r="O14" s="31" t="s">
        <v>14</v>
      </c>
      <c r="R14" s="17"/>
    </row>
    <row r="15" spans="1:18" s="24" customFormat="1" ht="24.95" customHeight="1">
      <c r="A15" s="6">
        <v>13</v>
      </c>
      <c r="B15" s="22">
        <v>12</v>
      </c>
      <c r="C15" s="18" t="s">
        <v>79</v>
      </c>
      <c r="D15" s="19">
        <v>589.80999999999995</v>
      </c>
      <c r="E15" s="19">
        <v>2084.25</v>
      </c>
      <c r="F15" s="20">
        <f>(D15-E15)/E15</f>
        <v>-0.71701571308624212</v>
      </c>
      <c r="G15" s="21">
        <v>94</v>
      </c>
      <c r="H15" s="21">
        <v>7</v>
      </c>
      <c r="I15" s="22">
        <f t="shared" si="0"/>
        <v>13.428571428571429</v>
      </c>
      <c r="J15" s="22">
        <v>1</v>
      </c>
      <c r="K15" s="22">
        <v>5</v>
      </c>
      <c r="L15" s="19">
        <v>62187.95</v>
      </c>
      <c r="M15" s="21">
        <v>9695</v>
      </c>
      <c r="N15" s="23">
        <v>45450</v>
      </c>
      <c r="O15" s="30" t="s">
        <v>12</v>
      </c>
      <c r="R15" s="17"/>
    </row>
    <row r="16" spans="1:18" s="59" customFormat="1" ht="24.95" customHeight="1">
      <c r="A16" s="17">
        <v>14</v>
      </c>
      <c r="B16" s="22" t="s">
        <v>15</v>
      </c>
      <c r="C16" s="13" t="s">
        <v>156</v>
      </c>
      <c r="D16" s="8">
        <v>556</v>
      </c>
      <c r="E16" s="19" t="s">
        <v>15</v>
      </c>
      <c r="F16" s="9" t="s">
        <v>15</v>
      </c>
      <c r="G16" s="10">
        <v>247</v>
      </c>
      <c r="H16" s="10">
        <v>28</v>
      </c>
      <c r="I16" s="11">
        <f t="shared" si="0"/>
        <v>8.8214285714285712</v>
      </c>
      <c r="J16" s="11">
        <v>4</v>
      </c>
      <c r="K16" s="11" t="s">
        <v>15</v>
      </c>
      <c r="L16" s="19">
        <v>496938.79</v>
      </c>
      <c r="M16" s="21">
        <v>90259</v>
      </c>
      <c r="N16" s="12">
        <v>45212</v>
      </c>
      <c r="O16" s="34" t="s">
        <v>63</v>
      </c>
      <c r="R16" s="6"/>
    </row>
    <row r="17" spans="1:19" s="59" customFormat="1" ht="24.95" customHeight="1">
      <c r="A17" s="6">
        <v>15</v>
      </c>
      <c r="B17" s="22" t="s">
        <v>23</v>
      </c>
      <c r="C17" s="13" t="s">
        <v>154</v>
      </c>
      <c r="D17" s="8">
        <v>500.05</v>
      </c>
      <c r="E17" s="19" t="s">
        <v>15</v>
      </c>
      <c r="F17" s="9" t="s">
        <v>15</v>
      </c>
      <c r="G17" s="10">
        <v>69</v>
      </c>
      <c r="H17" s="10">
        <v>3</v>
      </c>
      <c r="I17" s="11">
        <f t="shared" si="0"/>
        <v>23</v>
      </c>
      <c r="J17" s="11">
        <v>3</v>
      </c>
      <c r="K17" s="11">
        <v>0</v>
      </c>
      <c r="L17" s="19">
        <v>500</v>
      </c>
      <c r="M17" s="21">
        <v>69</v>
      </c>
      <c r="N17" s="12" t="s">
        <v>24</v>
      </c>
      <c r="O17" s="34" t="s">
        <v>63</v>
      </c>
      <c r="R17" s="6"/>
    </row>
    <row r="18" spans="1:19" s="59" customFormat="1" ht="24.95" customHeight="1">
      <c r="A18" s="17">
        <v>16</v>
      </c>
      <c r="B18" s="22" t="s">
        <v>15</v>
      </c>
      <c r="C18" s="7" t="s">
        <v>155</v>
      </c>
      <c r="D18" s="8">
        <v>492.5</v>
      </c>
      <c r="E18" s="19" t="s">
        <v>15</v>
      </c>
      <c r="F18" s="9" t="s">
        <v>15</v>
      </c>
      <c r="G18" s="10">
        <v>210</v>
      </c>
      <c r="H18" s="10">
        <v>28</v>
      </c>
      <c r="I18" s="11">
        <f t="shared" si="0"/>
        <v>7.5</v>
      </c>
      <c r="J18" s="11">
        <v>4</v>
      </c>
      <c r="K18" s="11" t="s">
        <v>15</v>
      </c>
      <c r="L18" s="19">
        <v>209704.73</v>
      </c>
      <c r="M18" s="21">
        <v>43132</v>
      </c>
      <c r="N18" s="12">
        <v>44638</v>
      </c>
      <c r="O18" s="31" t="s">
        <v>63</v>
      </c>
      <c r="R18" s="6"/>
    </row>
    <row r="19" spans="1:19" s="24" customFormat="1" ht="24.95" customHeight="1">
      <c r="A19" s="6">
        <v>17</v>
      </c>
      <c r="B19" s="22">
        <v>9</v>
      </c>
      <c r="C19" s="18" t="s">
        <v>131</v>
      </c>
      <c r="D19" s="19">
        <v>478.38</v>
      </c>
      <c r="E19" s="19">
        <v>3542.79</v>
      </c>
      <c r="F19" s="20">
        <f>(D19-E19)/E19</f>
        <v>-0.8649708280761772</v>
      </c>
      <c r="G19" s="21">
        <v>87</v>
      </c>
      <c r="H19" s="21">
        <v>13</v>
      </c>
      <c r="I19" s="22">
        <v>3.7151898734177213</v>
      </c>
      <c r="J19" s="22">
        <v>3</v>
      </c>
      <c r="K19" s="22">
        <v>2</v>
      </c>
      <c r="L19" s="19">
        <v>4259.55</v>
      </c>
      <c r="M19" s="21">
        <v>709</v>
      </c>
      <c r="N19" s="23">
        <v>45471</v>
      </c>
      <c r="O19" s="30" t="s">
        <v>11</v>
      </c>
      <c r="R19" s="17"/>
    </row>
    <row r="20" spans="1:19" s="24" customFormat="1" ht="24.95" customHeight="1">
      <c r="A20" s="17">
        <v>18</v>
      </c>
      <c r="B20" s="22">
        <v>20</v>
      </c>
      <c r="C20" s="18" t="s">
        <v>34</v>
      </c>
      <c r="D20" s="19">
        <v>292.39999999999998</v>
      </c>
      <c r="E20" s="19">
        <v>317.39999999999998</v>
      </c>
      <c r="F20" s="20">
        <f>(D20-E20)/E20</f>
        <v>-7.8764965343415261E-2</v>
      </c>
      <c r="G20" s="21">
        <v>42</v>
      </c>
      <c r="H20" s="21">
        <v>7</v>
      </c>
      <c r="I20" s="22">
        <f>G20/H20</f>
        <v>6</v>
      </c>
      <c r="J20" s="22">
        <v>3</v>
      </c>
      <c r="K20" s="22">
        <v>5</v>
      </c>
      <c r="L20" s="19">
        <v>9836.6</v>
      </c>
      <c r="M20" s="21">
        <v>1417</v>
      </c>
      <c r="N20" s="23">
        <v>45450</v>
      </c>
      <c r="O20" s="30" t="s">
        <v>14</v>
      </c>
      <c r="R20" s="17"/>
    </row>
    <row r="21" spans="1:19" s="24" customFormat="1" ht="24.95" customHeight="1">
      <c r="A21" s="6">
        <v>19</v>
      </c>
      <c r="B21" s="22">
        <v>15</v>
      </c>
      <c r="C21" s="7" t="s">
        <v>145</v>
      </c>
      <c r="D21" s="8">
        <v>154</v>
      </c>
      <c r="E21" s="19">
        <v>1119</v>
      </c>
      <c r="F21" s="20">
        <f>(D21-E21)/E21</f>
        <v>-0.86237712243074172</v>
      </c>
      <c r="G21" s="10">
        <v>28</v>
      </c>
      <c r="H21" s="10">
        <v>2</v>
      </c>
      <c r="I21" s="11">
        <f>G21/H21</f>
        <v>14</v>
      </c>
      <c r="J21" s="11">
        <v>1</v>
      </c>
      <c r="K21" s="11">
        <v>13</v>
      </c>
      <c r="L21" s="19">
        <v>78113.69</v>
      </c>
      <c r="M21" s="21">
        <v>11497</v>
      </c>
      <c r="N21" s="12">
        <v>45394</v>
      </c>
      <c r="O21" s="31" t="s">
        <v>63</v>
      </c>
      <c r="R21" s="17"/>
    </row>
    <row r="22" spans="1:19" s="24" customFormat="1" ht="24.75" customHeight="1">
      <c r="A22" s="17">
        <v>20</v>
      </c>
      <c r="B22" s="11">
        <v>22</v>
      </c>
      <c r="C22" s="7" t="s">
        <v>38</v>
      </c>
      <c r="D22" s="32">
        <v>112</v>
      </c>
      <c r="E22" s="32">
        <v>236.4</v>
      </c>
      <c r="F22" s="9">
        <f>(D22-E22)/E22</f>
        <v>-0.52622673434856182</v>
      </c>
      <c r="G22" s="33">
        <v>15</v>
      </c>
      <c r="H22" s="10">
        <v>3</v>
      </c>
      <c r="I22" s="11">
        <f>G22/H22</f>
        <v>5</v>
      </c>
      <c r="J22" s="11">
        <v>2</v>
      </c>
      <c r="K22" s="11">
        <v>6</v>
      </c>
      <c r="L22" s="28">
        <v>5447.51</v>
      </c>
      <c r="M22" s="29">
        <v>912</v>
      </c>
      <c r="N22" s="12">
        <v>45443</v>
      </c>
      <c r="O22" s="31" t="s">
        <v>64</v>
      </c>
      <c r="R22" s="17"/>
    </row>
    <row r="23" spans="1:19" s="27" customFormat="1" ht="24.75" customHeight="1">
      <c r="A23" s="6">
        <v>21</v>
      </c>
      <c r="B23" s="17">
        <v>28</v>
      </c>
      <c r="C23" s="25" t="s">
        <v>149</v>
      </c>
      <c r="D23" s="19">
        <v>104.8</v>
      </c>
      <c r="E23" s="19">
        <v>182.2</v>
      </c>
      <c r="F23" s="20">
        <v>-0.42480790340285396</v>
      </c>
      <c r="G23" s="21">
        <v>14</v>
      </c>
      <c r="H23" s="17">
        <v>2</v>
      </c>
      <c r="I23" s="22">
        <v>24.833333333333332</v>
      </c>
      <c r="J23" s="17">
        <v>1</v>
      </c>
      <c r="K23" s="19" t="s">
        <v>15</v>
      </c>
      <c r="L23" s="8">
        <v>212677.6</v>
      </c>
      <c r="M23" s="21">
        <v>32915</v>
      </c>
      <c r="N23" s="23">
        <v>45191</v>
      </c>
      <c r="O23" s="53" t="s">
        <v>25</v>
      </c>
      <c r="R23" s="17"/>
      <c r="S23" s="24"/>
    </row>
    <row r="24" spans="1:19" ht="24.95" customHeight="1">
      <c r="A24" s="17">
        <v>22</v>
      </c>
      <c r="B24" s="11">
        <v>29</v>
      </c>
      <c r="C24" s="13" t="s">
        <v>73</v>
      </c>
      <c r="D24" s="8">
        <v>99</v>
      </c>
      <c r="E24" s="8">
        <v>6</v>
      </c>
      <c r="F24" s="9">
        <f>(D24-E24)/E24</f>
        <v>15.5</v>
      </c>
      <c r="G24" s="10">
        <v>33</v>
      </c>
      <c r="H24" s="10">
        <v>3</v>
      </c>
      <c r="I24" s="11">
        <f>G24/H24</f>
        <v>11</v>
      </c>
      <c r="J24" s="11">
        <v>2</v>
      </c>
      <c r="K24" s="11">
        <v>6</v>
      </c>
      <c r="L24" s="19">
        <v>1760.03</v>
      </c>
      <c r="M24" s="21">
        <v>525</v>
      </c>
      <c r="N24" s="12">
        <v>45443</v>
      </c>
      <c r="O24" s="34" t="s">
        <v>68</v>
      </c>
      <c r="R24" s="6"/>
      <c r="S24" s="59"/>
    </row>
    <row r="25" spans="1:19" ht="24.75" customHeight="1">
      <c r="A25" s="6">
        <v>23</v>
      </c>
      <c r="B25" s="6">
        <v>27</v>
      </c>
      <c r="C25" s="7" t="s">
        <v>46</v>
      </c>
      <c r="D25" s="8">
        <v>67</v>
      </c>
      <c r="E25" s="8">
        <v>111.2</v>
      </c>
      <c r="F25" s="9">
        <v>-0.39748201438848924</v>
      </c>
      <c r="G25" s="10">
        <v>12</v>
      </c>
      <c r="H25" s="11">
        <v>2</v>
      </c>
      <c r="I25" s="11">
        <v>6</v>
      </c>
      <c r="J25" s="6">
        <v>2</v>
      </c>
      <c r="K25" s="11">
        <v>16</v>
      </c>
      <c r="L25" s="8">
        <v>67996.3</v>
      </c>
      <c r="M25" s="10">
        <v>10505</v>
      </c>
      <c r="N25" s="12">
        <v>45379</v>
      </c>
      <c r="O25" s="31" t="s">
        <v>25</v>
      </c>
    </row>
    <row r="26" spans="1:19" ht="24.75" customHeight="1">
      <c r="A26" s="17">
        <v>24</v>
      </c>
      <c r="B26" s="22">
        <v>24</v>
      </c>
      <c r="C26" s="25" t="s">
        <v>41</v>
      </c>
      <c r="D26" s="28">
        <v>45</v>
      </c>
      <c r="E26" s="28">
        <v>158.84</v>
      </c>
      <c r="F26" s="20">
        <v>-0.65246587807097367</v>
      </c>
      <c r="G26" s="29">
        <v>5</v>
      </c>
      <c r="H26" s="21">
        <v>5</v>
      </c>
      <c r="I26" s="22">
        <v>1</v>
      </c>
      <c r="J26" s="22">
        <v>1</v>
      </c>
      <c r="K26" s="22">
        <v>6</v>
      </c>
      <c r="L26" s="28">
        <v>23086.79</v>
      </c>
      <c r="M26" s="29">
        <v>3520</v>
      </c>
      <c r="N26" s="23">
        <v>45443</v>
      </c>
      <c r="O26" s="53" t="s">
        <v>19</v>
      </c>
    </row>
    <row r="27" spans="1:19" ht="24.75" customHeight="1">
      <c r="A27" s="6">
        <v>25</v>
      </c>
      <c r="B27" s="22" t="s">
        <v>15</v>
      </c>
      <c r="C27" s="7" t="s">
        <v>49</v>
      </c>
      <c r="D27" s="8">
        <v>32</v>
      </c>
      <c r="E27" s="19" t="s">
        <v>15</v>
      </c>
      <c r="F27" s="9" t="s">
        <v>15</v>
      </c>
      <c r="G27" s="10">
        <v>6</v>
      </c>
      <c r="H27" s="10">
        <v>1</v>
      </c>
      <c r="I27" s="11">
        <v>6</v>
      </c>
      <c r="J27" s="11">
        <v>1</v>
      </c>
      <c r="K27" s="11" t="s">
        <v>15</v>
      </c>
      <c r="L27" s="19">
        <v>37792.89</v>
      </c>
      <c r="M27" s="21">
        <v>3988</v>
      </c>
      <c r="N27" s="12">
        <v>45365</v>
      </c>
      <c r="O27" s="31" t="s">
        <v>25</v>
      </c>
    </row>
    <row r="28" spans="1:19" ht="24.75" customHeight="1">
      <c r="A28" s="17">
        <v>26</v>
      </c>
      <c r="B28" s="22" t="s">
        <v>15</v>
      </c>
      <c r="C28" s="7" t="s">
        <v>40</v>
      </c>
      <c r="D28" s="8">
        <v>22.2</v>
      </c>
      <c r="E28" s="19" t="s">
        <v>15</v>
      </c>
      <c r="F28" s="9" t="s">
        <v>15</v>
      </c>
      <c r="G28" s="10">
        <v>3</v>
      </c>
      <c r="H28" s="10">
        <v>1</v>
      </c>
      <c r="I28" s="11">
        <v>3</v>
      </c>
      <c r="J28" s="11">
        <v>1</v>
      </c>
      <c r="K28" s="11" t="s">
        <v>15</v>
      </c>
      <c r="L28" s="19">
        <v>7599.66</v>
      </c>
      <c r="M28" s="21">
        <v>1367</v>
      </c>
      <c r="N28" s="12">
        <v>45429</v>
      </c>
      <c r="O28" s="31" t="s">
        <v>25</v>
      </c>
    </row>
    <row r="29" spans="1:19" s="24" customFormat="1" ht="24.95" customHeight="1">
      <c r="A29" s="6">
        <v>27</v>
      </c>
      <c r="B29" s="11">
        <v>23</v>
      </c>
      <c r="C29" s="7" t="s">
        <v>115</v>
      </c>
      <c r="D29" s="8">
        <v>22</v>
      </c>
      <c r="E29" s="8">
        <v>234</v>
      </c>
      <c r="F29" s="9">
        <f>(D29-E29)/E29</f>
        <v>-0.90598290598290598</v>
      </c>
      <c r="G29" s="10">
        <v>4</v>
      </c>
      <c r="H29" s="10">
        <v>5</v>
      </c>
      <c r="I29" s="11">
        <f>G29/H29</f>
        <v>0.8</v>
      </c>
      <c r="J29" s="11">
        <v>2</v>
      </c>
      <c r="K29" s="11">
        <v>4</v>
      </c>
      <c r="L29" s="19">
        <v>2284.38</v>
      </c>
      <c r="M29" s="21">
        <v>393</v>
      </c>
      <c r="N29" s="12">
        <v>45457</v>
      </c>
      <c r="O29" s="31" t="s">
        <v>116</v>
      </c>
      <c r="R29" s="17"/>
    </row>
    <row r="30" spans="1:19" ht="24.75" customHeight="1">
      <c r="A30" s="46"/>
      <c r="B30" s="57" t="s">
        <v>26</v>
      </c>
      <c r="C30" s="48" t="s">
        <v>158</v>
      </c>
      <c r="D30" s="49">
        <f>SUM(Table13245678[Pajamos 
(GBO)])</f>
        <v>498566.97</v>
      </c>
      <c r="E30" s="49" t="s">
        <v>159</v>
      </c>
      <c r="F30" s="50">
        <f t="shared" ref="F30" si="1">(D30-E30)/E30</f>
        <v>0.37918081854520802</v>
      </c>
      <c r="G30" s="52">
        <f>SUM(Table13245678[Žiūrovų sk. 
(ADM)])</f>
        <v>82394</v>
      </c>
      <c r="H30" s="57"/>
      <c r="I30" s="46"/>
      <c r="J30" s="46"/>
      <c r="K30" s="46"/>
      <c r="L30" s="54"/>
      <c r="M30" s="46"/>
      <c r="N30" s="46"/>
      <c r="O30" s="46" t="s">
        <v>26</v>
      </c>
    </row>
    <row r="31" spans="1:19" s="27" customFormat="1" ht="24.75" hidden="1" customHeight="1">
      <c r="A31" s="1"/>
      <c r="B31" s="58"/>
      <c r="C31" s="1"/>
      <c r="D31" s="1"/>
      <c r="E31" s="43"/>
      <c r="F31" s="37"/>
      <c r="G31" s="1"/>
      <c r="H31" s="58"/>
      <c r="I31" s="1"/>
      <c r="J31" s="1"/>
      <c r="K31" s="1"/>
      <c r="L31" s="43"/>
      <c r="M31" s="1"/>
      <c r="N31" s="1"/>
      <c r="O31" s="1"/>
    </row>
    <row r="32" spans="1:19" s="27" customFormat="1" ht="24.75" hidden="1" customHeight="1">
      <c r="A32" s="1"/>
      <c r="B32" s="58"/>
      <c r="C32" s="1"/>
      <c r="D32" s="1"/>
      <c r="E32" s="43"/>
      <c r="F32" s="37"/>
      <c r="G32" s="1"/>
      <c r="H32" s="58"/>
      <c r="I32" s="1"/>
      <c r="J32" s="1"/>
      <c r="K32" s="1"/>
      <c r="L32" s="43"/>
      <c r="M32" s="1"/>
      <c r="N32" s="1"/>
      <c r="O32" s="1"/>
    </row>
    <row r="33" spans="1:15" s="27" customFormat="1" ht="24.95" hidden="1" customHeight="1">
      <c r="A33" s="1"/>
      <c r="B33" s="58"/>
      <c r="C33" s="1"/>
      <c r="D33" s="1"/>
      <c r="E33" s="43"/>
      <c r="F33" s="37"/>
      <c r="G33" s="1"/>
      <c r="H33" s="58"/>
      <c r="I33" s="1"/>
      <c r="J33" s="1"/>
      <c r="K33" s="1"/>
      <c r="L33" s="43"/>
      <c r="M33" s="1"/>
      <c r="N33" s="1"/>
      <c r="O33" s="1"/>
    </row>
    <row r="34" spans="1:15" s="27" customFormat="1" ht="24.95" hidden="1" customHeight="1">
      <c r="A34" s="1"/>
      <c r="B34" s="58"/>
      <c r="C34" s="1"/>
      <c r="D34" s="1"/>
      <c r="E34" s="43"/>
      <c r="F34" s="37"/>
      <c r="G34" s="1"/>
      <c r="H34" s="58"/>
      <c r="I34" s="1"/>
      <c r="J34" s="1"/>
      <c r="K34" s="1"/>
      <c r="L34" s="43"/>
      <c r="M34" s="1"/>
      <c r="N34" s="1"/>
      <c r="O34" s="1"/>
    </row>
    <row r="35" spans="1:15" s="27" customFormat="1" ht="24.95" hidden="1" customHeight="1">
      <c r="A35" s="1"/>
      <c r="B35" s="58"/>
      <c r="C35" s="1"/>
      <c r="D35" s="1"/>
      <c r="E35" s="43"/>
      <c r="F35" s="37"/>
      <c r="G35" s="1"/>
      <c r="H35" s="58"/>
      <c r="I35" s="1"/>
      <c r="J35" s="1"/>
      <c r="K35" s="1"/>
      <c r="L35" s="43"/>
      <c r="M35" s="1"/>
      <c r="N35" s="1"/>
      <c r="O35" s="1"/>
    </row>
    <row r="36" spans="1:15" s="62" customFormat="1" ht="24.95" hidden="1" customHeight="1">
      <c r="A36" s="1"/>
      <c r="B36" s="58"/>
      <c r="C36" s="1"/>
      <c r="D36" s="1"/>
      <c r="E36" s="43"/>
      <c r="F36" s="37"/>
      <c r="G36" s="1"/>
      <c r="H36" s="58"/>
      <c r="I36" s="1"/>
      <c r="J36" s="1"/>
      <c r="K36" s="1"/>
      <c r="L36" s="43"/>
      <c r="M36" s="1"/>
      <c r="N36" s="1"/>
      <c r="O36" s="1"/>
    </row>
    <row r="37" spans="1:15" s="27" customFormat="1" ht="24.95" hidden="1" customHeight="1">
      <c r="A37" s="1"/>
      <c r="B37" s="58"/>
      <c r="C37" s="1"/>
      <c r="D37" s="1"/>
      <c r="E37" s="43"/>
      <c r="F37" s="37"/>
      <c r="G37" s="1"/>
      <c r="H37" s="58"/>
      <c r="I37" s="1"/>
      <c r="J37" s="1"/>
      <c r="K37" s="1"/>
      <c r="L37" s="43"/>
      <c r="M37" s="1"/>
      <c r="N37" s="1"/>
      <c r="O37" s="1"/>
    </row>
    <row r="38" spans="1:15" s="27" customFormat="1" ht="24.95" hidden="1" customHeight="1">
      <c r="A38" s="1"/>
      <c r="B38" s="58"/>
      <c r="C38" s="1"/>
      <c r="D38" s="1"/>
      <c r="E38" s="43"/>
      <c r="F38" s="37"/>
      <c r="G38" s="1"/>
      <c r="H38" s="58"/>
      <c r="I38" s="1"/>
      <c r="J38" s="1"/>
      <c r="K38" s="1"/>
      <c r="L38" s="43"/>
      <c r="M38" s="1"/>
      <c r="N38" s="1"/>
      <c r="O38" s="1"/>
    </row>
    <row r="39" spans="1:15" s="62" customFormat="1" ht="24.95" hidden="1" customHeight="1">
      <c r="A39" s="1"/>
      <c r="B39" s="58"/>
      <c r="C39" s="1"/>
      <c r="D39" s="1"/>
      <c r="E39" s="43"/>
      <c r="F39" s="37"/>
      <c r="G39" s="1"/>
      <c r="H39" s="58"/>
      <c r="I39" s="1"/>
      <c r="J39" s="1"/>
      <c r="K39" s="1"/>
      <c r="L39" s="43"/>
      <c r="M39" s="1"/>
      <c r="N39" s="1"/>
      <c r="O39" s="1"/>
    </row>
    <row r="40" spans="1:15" s="62" customFormat="1" ht="24.95" hidden="1" customHeight="1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5" s="62" customFormat="1" ht="24.95" hidden="1" customHeight="1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5" s="62" customFormat="1" ht="24.95" hidden="1" customHeight="1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5" s="62" customFormat="1" ht="24.95" hidden="1" customHeight="1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5" s="62" customFormat="1" ht="24.95" hidden="1" customHeight="1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5" s="62" customFormat="1" ht="24.95" hidden="1" customHeight="1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5" s="62" customFormat="1" ht="24.95" hidden="1" customHeight="1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5" s="44" customFormat="1" ht="24.95" hidden="1" customHeight="1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39B4F-CAA0-4642-8A27-D1BA8C4EE76C}">
  <sheetPr>
    <pageSetUpPr fitToPage="1"/>
  </sheetPr>
  <dimension ref="A1:XFC49"/>
  <sheetViews>
    <sheetView zoomScale="60" zoomScaleNormal="60" workbookViewId="0">
      <selection activeCell="C21" sqref="C21:O21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3" t="s">
        <v>160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22">
        <v>1</v>
      </c>
      <c r="C3" s="25" t="s">
        <v>106</v>
      </c>
      <c r="D3" s="19">
        <v>145432.85</v>
      </c>
      <c r="E3" s="19">
        <v>284813.65999999997</v>
      </c>
      <c r="F3" s="20">
        <f>(D3-E3)/E3</f>
        <v>-0.48937543936621575</v>
      </c>
      <c r="G3" s="21">
        <v>25028</v>
      </c>
      <c r="H3" s="21">
        <v>561</v>
      </c>
      <c r="I3" s="22">
        <f>G3/H3</f>
        <v>44.613190730837786</v>
      </c>
      <c r="J3" s="22">
        <v>30</v>
      </c>
      <c r="K3" s="22">
        <v>3</v>
      </c>
      <c r="L3" s="19">
        <v>832461.95</v>
      </c>
      <c r="M3" s="21">
        <v>140245</v>
      </c>
      <c r="N3" s="23">
        <v>45457</v>
      </c>
      <c r="O3" s="30" t="s">
        <v>18</v>
      </c>
    </row>
    <row r="4" spans="1:18" s="24" customFormat="1" ht="24.95" customHeight="1">
      <c r="A4" s="6">
        <v>2</v>
      </c>
      <c r="B4" s="22" t="s">
        <v>23</v>
      </c>
      <c r="C4" s="7" t="s">
        <v>146</v>
      </c>
      <c r="D4" s="8">
        <v>75892.429999999993</v>
      </c>
      <c r="E4" s="19" t="s">
        <v>15</v>
      </c>
      <c r="F4" s="20" t="s">
        <v>15</v>
      </c>
      <c r="G4" s="10">
        <v>13100</v>
      </c>
      <c r="H4" s="10">
        <v>182</v>
      </c>
      <c r="I4" s="11">
        <f>G4/H4</f>
        <v>71.978021978021971</v>
      </c>
      <c r="J4" s="11">
        <v>19</v>
      </c>
      <c r="K4" s="11">
        <v>0</v>
      </c>
      <c r="L4" s="19">
        <v>75892.429999999993</v>
      </c>
      <c r="M4" s="21">
        <v>13100</v>
      </c>
      <c r="N4" s="12" t="s">
        <v>24</v>
      </c>
      <c r="O4" s="31" t="s">
        <v>63</v>
      </c>
    </row>
    <row r="5" spans="1:18" s="24" customFormat="1" ht="24.95" customHeight="1">
      <c r="A5" s="17">
        <v>3</v>
      </c>
      <c r="B5" s="22" t="s">
        <v>17</v>
      </c>
      <c r="C5" s="25" t="s">
        <v>136</v>
      </c>
      <c r="D5" s="19">
        <v>66834.58</v>
      </c>
      <c r="E5" s="19" t="s">
        <v>15</v>
      </c>
      <c r="F5" s="20" t="s">
        <v>15</v>
      </c>
      <c r="G5" s="21">
        <v>8820</v>
      </c>
      <c r="H5" s="21">
        <v>308</v>
      </c>
      <c r="I5" s="22">
        <f>G5/H5</f>
        <v>28.636363636363637</v>
      </c>
      <c r="J5" s="22">
        <v>17</v>
      </c>
      <c r="K5" s="22">
        <v>1</v>
      </c>
      <c r="L5" s="19">
        <v>71256.94</v>
      </c>
      <c r="M5" s="21">
        <v>9544</v>
      </c>
      <c r="N5" s="23">
        <v>45471</v>
      </c>
      <c r="O5" s="53" t="s">
        <v>62</v>
      </c>
      <c r="R5" s="17"/>
    </row>
    <row r="6" spans="1:18" s="24" customFormat="1" ht="24.95" customHeight="1">
      <c r="A6" s="17">
        <v>4</v>
      </c>
      <c r="B6" s="22">
        <v>2</v>
      </c>
      <c r="C6" s="18" t="s">
        <v>78</v>
      </c>
      <c r="D6" s="19">
        <v>20360.95</v>
      </c>
      <c r="E6" s="19">
        <v>45033.48</v>
      </c>
      <c r="F6" s="20">
        <f>(D6-E6)/E6</f>
        <v>-0.54787082854800473</v>
      </c>
      <c r="G6" s="21">
        <v>2966</v>
      </c>
      <c r="H6" s="21">
        <v>165</v>
      </c>
      <c r="I6" s="22">
        <f>G6/H6</f>
        <v>17.975757575757576</v>
      </c>
      <c r="J6" s="22">
        <v>10</v>
      </c>
      <c r="K6" s="22">
        <v>4</v>
      </c>
      <c r="L6" s="19">
        <v>209605.99</v>
      </c>
      <c r="M6" s="21">
        <v>28011</v>
      </c>
      <c r="N6" s="23">
        <v>45450</v>
      </c>
      <c r="O6" s="30" t="s">
        <v>61</v>
      </c>
      <c r="R6" s="17"/>
    </row>
    <row r="7" spans="1:18" s="24" customFormat="1" ht="24.95" customHeight="1">
      <c r="A7" s="17">
        <v>5</v>
      </c>
      <c r="B7" s="22">
        <v>3</v>
      </c>
      <c r="C7" s="18" t="s">
        <v>27</v>
      </c>
      <c r="D7" s="19">
        <v>19179.310000000001</v>
      </c>
      <c r="E7" s="19">
        <v>44354.18</v>
      </c>
      <c r="F7" s="20">
        <f>(D7-E7)/E7</f>
        <v>-0.5675873164603652</v>
      </c>
      <c r="G7" s="21">
        <v>3627</v>
      </c>
      <c r="H7" s="21">
        <v>199</v>
      </c>
      <c r="I7" s="22">
        <f>G7/H7</f>
        <v>18.226130653266331</v>
      </c>
      <c r="J7" s="22">
        <v>14</v>
      </c>
      <c r="K7" s="22">
        <v>6</v>
      </c>
      <c r="L7" s="19">
        <v>506159.62</v>
      </c>
      <c r="M7" s="21">
        <v>93737</v>
      </c>
      <c r="N7" s="23">
        <v>45436</v>
      </c>
      <c r="O7" s="30" t="s">
        <v>61</v>
      </c>
      <c r="R7" s="17"/>
    </row>
    <row r="8" spans="1:18" s="24" customFormat="1" ht="24.95" customHeight="1">
      <c r="A8" s="6">
        <v>6</v>
      </c>
      <c r="B8" s="22" t="s">
        <v>17</v>
      </c>
      <c r="C8" s="7" t="s">
        <v>143</v>
      </c>
      <c r="D8" s="8">
        <v>9686</v>
      </c>
      <c r="E8" s="19" t="s">
        <v>15</v>
      </c>
      <c r="F8" s="9" t="s">
        <v>15</v>
      </c>
      <c r="G8" s="10">
        <v>1465</v>
      </c>
      <c r="H8" s="10" t="s">
        <v>15</v>
      </c>
      <c r="I8" s="11" t="s">
        <v>15</v>
      </c>
      <c r="J8" s="11">
        <v>14</v>
      </c>
      <c r="K8" s="11">
        <v>1</v>
      </c>
      <c r="L8" s="19">
        <v>9686</v>
      </c>
      <c r="M8" s="21">
        <v>1465</v>
      </c>
      <c r="N8" s="12">
        <v>45471</v>
      </c>
      <c r="O8" s="31" t="s">
        <v>13</v>
      </c>
      <c r="R8" s="17"/>
    </row>
    <row r="9" spans="1:18" s="24" customFormat="1" ht="24.95" customHeight="1">
      <c r="A9" s="17">
        <v>7</v>
      </c>
      <c r="B9" s="22" t="s">
        <v>17</v>
      </c>
      <c r="C9" s="25" t="s">
        <v>138</v>
      </c>
      <c r="D9" s="8">
        <v>8055.89</v>
      </c>
      <c r="E9" s="19" t="s">
        <v>15</v>
      </c>
      <c r="F9" s="9" t="s">
        <v>15</v>
      </c>
      <c r="G9" s="21">
        <v>989</v>
      </c>
      <c r="H9" s="21">
        <v>73</v>
      </c>
      <c r="I9" s="22">
        <f>G9/H9</f>
        <v>13.547945205479452</v>
      </c>
      <c r="J9" s="22">
        <v>9</v>
      </c>
      <c r="K9" s="22">
        <v>1</v>
      </c>
      <c r="L9" s="19">
        <v>8055.89</v>
      </c>
      <c r="M9" s="21">
        <v>1358</v>
      </c>
      <c r="N9" s="23">
        <v>45471</v>
      </c>
      <c r="O9" s="53" t="s">
        <v>19</v>
      </c>
      <c r="R9" s="17"/>
    </row>
    <row r="10" spans="1:18" s="24" customFormat="1" ht="24.95" customHeight="1">
      <c r="A10" s="6">
        <v>8</v>
      </c>
      <c r="B10" s="22" t="s">
        <v>23</v>
      </c>
      <c r="C10" s="7" t="s">
        <v>147</v>
      </c>
      <c r="D10" s="8">
        <v>5770</v>
      </c>
      <c r="E10" s="19" t="s">
        <v>15</v>
      </c>
      <c r="F10" s="20" t="s">
        <v>15</v>
      </c>
      <c r="G10" s="10">
        <v>868</v>
      </c>
      <c r="H10" s="10">
        <v>17</v>
      </c>
      <c r="I10" s="11">
        <f>G10/H10</f>
        <v>51.058823529411768</v>
      </c>
      <c r="J10" s="11">
        <v>12</v>
      </c>
      <c r="K10" s="11">
        <v>0</v>
      </c>
      <c r="L10" s="19">
        <v>5770</v>
      </c>
      <c r="M10" s="21">
        <v>868</v>
      </c>
      <c r="N10" s="12" t="s">
        <v>24</v>
      </c>
      <c r="O10" s="30" t="s">
        <v>18</v>
      </c>
      <c r="R10" s="17"/>
    </row>
    <row r="11" spans="1:18" s="24" customFormat="1" ht="24.75" customHeight="1">
      <c r="A11" s="17">
        <v>9</v>
      </c>
      <c r="B11" s="22" t="s">
        <v>17</v>
      </c>
      <c r="C11" s="18" t="s">
        <v>131</v>
      </c>
      <c r="D11" s="19">
        <v>3542.79</v>
      </c>
      <c r="E11" s="19" t="s">
        <v>15</v>
      </c>
      <c r="F11" s="20" t="s">
        <v>15</v>
      </c>
      <c r="G11" s="21">
        <v>587</v>
      </c>
      <c r="H11" s="21">
        <v>158</v>
      </c>
      <c r="I11" s="22">
        <v>3.7151898734177213</v>
      </c>
      <c r="J11" s="22">
        <v>16</v>
      </c>
      <c r="K11" s="22">
        <v>1</v>
      </c>
      <c r="L11" s="19">
        <v>3781.17</v>
      </c>
      <c r="M11" s="21">
        <v>622</v>
      </c>
      <c r="N11" s="23">
        <v>45471</v>
      </c>
      <c r="O11" s="30" t="s">
        <v>11</v>
      </c>
      <c r="R11" s="17"/>
    </row>
    <row r="12" spans="1:18" s="24" customFormat="1" ht="24.95" customHeight="1">
      <c r="A12" s="17">
        <v>10</v>
      </c>
      <c r="B12" s="11">
        <v>5</v>
      </c>
      <c r="C12" s="7" t="s">
        <v>120</v>
      </c>
      <c r="D12" s="8">
        <v>2480.91</v>
      </c>
      <c r="E12" s="8">
        <v>16711.32</v>
      </c>
      <c r="F12" s="20">
        <f>(D12-E12)/E12</f>
        <v>-0.851543145604297</v>
      </c>
      <c r="G12" s="10">
        <v>363</v>
      </c>
      <c r="H12" s="10">
        <v>47</v>
      </c>
      <c r="I12" s="11">
        <f t="shared" ref="I12:I28" si="0">G12/H12</f>
        <v>7.7234042553191493</v>
      </c>
      <c r="J12" s="11">
        <v>10</v>
      </c>
      <c r="K12" s="11">
        <v>3</v>
      </c>
      <c r="L12" s="19">
        <v>19215.03</v>
      </c>
      <c r="M12" s="21">
        <v>3040</v>
      </c>
      <c r="N12" s="12">
        <v>45464</v>
      </c>
      <c r="O12" s="31" t="s">
        <v>14</v>
      </c>
      <c r="R12" s="17"/>
    </row>
    <row r="13" spans="1:18" s="24" customFormat="1" ht="24.95" customHeight="1">
      <c r="A13" s="17">
        <v>11</v>
      </c>
      <c r="B13" s="22" t="s">
        <v>17</v>
      </c>
      <c r="C13" s="18" t="s">
        <v>148</v>
      </c>
      <c r="D13" s="19">
        <v>2106.7399999999998</v>
      </c>
      <c r="E13" s="19" t="s">
        <v>15</v>
      </c>
      <c r="F13" s="20" t="s">
        <v>15</v>
      </c>
      <c r="G13" s="21">
        <v>350</v>
      </c>
      <c r="H13" s="21">
        <v>42</v>
      </c>
      <c r="I13" s="11">
        <f t="shared" si="0"/>
        <v>8.3333333333333339</v>
      </c>
      <c r="J13" s="22">
        <v>8</v>
      </c>
      <c r="K13" s="22">
        <v>1</v>
      </c>
      <c r="L13" s="19">
        <v>2106.7399999999998</v>
      </c>
      <c r="M13" s="21">
        <v>350</v>
      </c>
      <c r="N13" s="23">
        <v>45471</v>
      </c>
      <c r="O13" s="31" t="s">
        <v>82</v>
      </c>
      <c r="R13" s="17"/>
    </row>
    <row r="14" spans="1:18" s="24" customFormat="1" ht="24.95" customHeight="1">
      <c r="A14" s="17">
        <v>12</v>
      </c>
      <c r="B14" s="22">
        <v>4</v>
      </c>
      <c r="C14" s="18" t="s">
        <v>79</v>
      </c>
      <c r="D14" s="19">
        <v>2084.25</v>
      </c>
      <c r="E14" s="19">
        <v>17434.86</v>
      </c>
      <c r="F14" s="20">
        <f>(D14-E14)/E14</f>
        <v>-0.8804550194265971</v>
      </c>
      <c r="G14" s="21">
        <v>332</v>
      </c>
      <c r="H14" s="21">
        <v>37</v>
      </c>
      <c r="I14" s="22">
        <f t="shared" si="0"/>
        <v>8.9729729729729737</v>
      </c>
      <c r="J14" s="22">
        <v>6</v>
      </c>
      <c r="K14" s="22">
        <v>4</v>
      </c>
      <c r="L14" s="19">
        <v>61598.14</v>
      </c>
      <c r="M14" s="21">
        <v>9601</v>
      </c>
      <c r="N14" s="23">
        <v>45450</v>
      </c>
      <c r="O14" s="30" t="s">
        <v>12</v>
      </c>
      <c r="R14" s="17"/>
    </row>
    <row r="15" spans="1:18" s="24" customFormat="1" ht="24.95" customHeight="1">
      <c r="A15" s="17">
        <v>13</v>
      </c>
      <c r="B15" s="22">
        <v>6</v>
      </c>
      <c r="C15" s="18" t="s">
        <v>28</v>
      </c>
      <c r="D15" s="19">
        <v>1174.06</v>
      </c>
      <c r="E15" s="19">
        <v>8213.89</v>
      </c>
      <c r="F15" s="20">
        <f>(D15-E15)/E15</f>
        <v>-0.85706407073871216</v>
      </c>
      <c r="G15" s="21">
        <v>178</v>
      </c>
      <c r="H15" s="21">
        <v>13</v>
      </c>
      <c r="I15" s="22">
        <f t="shared" si="0"/>
        <v>13.692307692307692</v>
      </c>
      <c r="J15" s="22">
        <v>1</v>
      </c>
      <c r="K15" s="22">
        <v>6</v>
      </c>
      <c r="L15" s="19">
        <v>114341.33</v>
      </c>
      <c r="M15" s="21">
        <v>15713</v>
      </c>
      <c r="N15" s="23">
        <v>45436</v>
      </c>
      <c r="O15" s="30" t="s">
        <v>12</v>
      </c>
      <c r="R15" s="17"/>
    </row>
    <row r="16" spans="1:18" s="59" customFormat="1" ht="24.95" customHeight="1">
      <c r="A16" s="17">
        <v>14</v>
      </c>
      <c r="B16" s="22" t="s">
        <v>15</v>
      </c>
      <c r="C16" s="18" t="s">
        <v>142</v>
      </c>
      <c r="D16" s="19">
        <v>1171.5</v>
      </c>
      <c r="E16" s="19" t="s">
        <v>15</v>
      </c>
      <c r="F16" s="20" t="s">
        <v>15</v>
      </c>
      <c r="G16" s="21">
        <v>174</v>
      </c>
      <c r="H16" s="21">
        <v>1</v>
      </c>
      <c r="I16" s="22">
        <f t="shared" si="0"/>
        <v>174</v>
      </c>
      <c r="J16" s="22">
        <v>1</v>
      </c>
      <c r="K16" s="22" t="s">
        <v>15</v>
      </c>
      <c r="L16" s="19">
        <v>4086.8</v>
      </c>
      <c r="M16" s="21">
        <v>1176</v>
      </c>
      <c r="N16" s="63">
        <v>43609</v>
      </c>
      <c r="O16" s="30" t="s">
        <v>68</v>
      </c>
      <c r="R16" s="6"/>
    </row>
    <row r="17" spans="1:19" s="59" customFormat="1" ht="24.95" customHeight="1">
      <c r="A17" s="6">
        <v>15</v>
      </c>
      <c r="B17" s="22" t="s">
        <v>15</v>
      </c>
      <c r="C17" s="7" t="s">
        <v>145</v>
      </c>
      <c r="D17" s="8">
        <v>1119</v>
      </c>
      <c r="E17" s="19" t="s">
        <v>15</v>
      </c>
      <c r="F17" s="20" t="s">
        <v>15</v>
      </c>
      <c r="G17" s="10">
        <v>120</v>
      </c>
      <c r="H17" s="10">
        <v>3</v>
      </c>
      <c r="I17" s="11">
        <f t="shared" si="0"/>
        <v>40</v>
      </c>
      <c r="J17" s="11">
        <v>1</v>
      </c>
      <c r="K17" s="11">
        <v>12</v>
      </c>
      <c r="L17" s="19">
        <v>77959.69</v>
      </c>
      <c r="M17" s="21">
        <v>11469</v>
      </c>
      <c r="N17" s="12">
        <v>45394</v>
      </c>
      <c r="O17" s="31" t="s">
        <v>63</v>
      </c>
      <c r="R17" s="6"/>
    </row>
    <row r="18" spans="1:19" s="59" customFormat="1" ht="24.95" customHeight="1">
      <c r="A18" s="17">
        <v>16</v>
      </c>
      <c r="B18" s="22">
        <v>8</v>
      </c>
      <c r="C18" s="25" t="s">
        <v>113</v>
      </c>
      <c r="D18" s="28">
        <v>948.34</v>
      </c>
      <c r="E18" s="28">
        <v>5109.01</v>
      </c>
      <c r="F18" s="20">
        <f>(D18-E18)/E18</f>
        <v>-0.81437891098275395</v>
      </c>
      <c r="G18" s="29">
        <v>191</v>
      </c>
      <c r="H18" s="21">
        <v>20</v>
      </c>
      <c r="I18" s="22">
        <f t="shared" si="0"/>
        <v>9.5500000000000007</v>
      </c>
      <c r="J18" s="22">
        <v>4</v>
      </c>
      <c r="K18" s="22">
        <v>7</v>
      </c>
      <c r="L18" s="28">
        <v>101502.54</v>
      </c>
      <c r="M18" s="29">
        <v>19881</v>
      </c>
      <c r="N18" s="23">
        <v>45429</v>
      </c>
      <c r="O18" s="30" t="s">
        <v>62</v>
      </c>
      <c r="R18" s="6"/>
    </row>
    <row r="19" spans="1:19" s="24" customFormat="1" ht="24.95" customHeight="1">
      <c r="A19" s="17">
        <v>17</v>
      </c>
      <c r="B19" s="22">
        <v>7</v>
      </c>
      <c r="C19" s="25" t="s">
        <v>30</v>
      </c>
      <c r="D19" s="28">
        <v>742.27</v>
      </c>
      <c r="E19" s="28">
        <v>5992.59</v>
      </c>
      <c r="F19" s="20">
        <f>(D19-E19)/E19</f>
        <v>-0.87613536050355512</v>
      </c>
      <c r="G19" s="29">
        <v>107</v>
      </c>
      <c r="H19" s="21">
        <v>17</v>
      </c>
      <c r="I19" s="22">
        <f t="shared" si="0"/>
        <v>6.2941176470588234</v>
      </c>
      <c r="J19" s="22">
        <v>2</v>
      </c>
      <c r="K19" s="22">
        <v>8</v>
      </c>
      <c r="L19" s="28">
        <v>121991.32</v>
      </c>
      <c r="M19" s="29">
        <v>17653</v>
      </c>
      <c r="N19" s="23">
        <v>45422</v>
      </c>
      <c r="O19" s="53" t="s">
        <v>18</v>
      </c>
      <c r="R19" s="17"/>
    </row>
    <row r="20" spans="1:19" s="24" customFormat="1" ht="24.95" customHeight="1">
      <c r="A20" s="6">
        <v>18</v>
      </c>
      <c r="B20" s="22" t="s">
        <v>15</v>
      </c>
      <c r="C20" s="7" t="s">
        <v>144</v>
      </c>
      <c r="D20" s="8">
        <v>642.5</v>
      </c>
      <c r="E20" s="19" t="s">
        <v>15</v>
      </c>
      <c r="F20" s="20" t="s">
        <v>15</v>
      </c>
      <c r="G20" s="10">
        <v>283</v>
      </c>
      <c r="H20" s="10">
        <v>27</v>
      </c>
      <c r="I20" s="11">
        <f t="shared" si="0"/>
        <v>10.481481481481481</v>
      </c>
      <c r="J20" s="11">
        <v>4</v>
      </c>
      <c r="K20" s="22" t="s">
        <v>15</v>
      </c>
      <c r="L20" s="19">
        <v>42802.17</v>
      </c>
      <c r="M20" s="21">
        <v>8447</v>
      </c>
      <c r="N20" s="12">
        <v>45240</v>
      </c>
      <c r="O20" s="31" t="s">
        <v>11</v>
      </c>
      <c r="R20" s="17"/>
    </row>
    <row r="21" spans="1:19" s="24" customFormat="1" ht="24.95" customHeight="1">
      <c r="A21" s="17">
        <v>19</v>
      </c>
      <c r="B21" s="22">
        <v>34</v>
      </c>
      <c r="C21" s="18" t="s">
        <v>104</v>
      </c>
      <c r="D21" s="19">
        <v>608.5</v>
      </c>
      <c r="E21" s="19">
        <v>105.46</v>
      </c>
      <c r="F21" s="20">
        <f>(D21-E21)/E21</f>
        <v>4.7699601744737343</v>
      </c>
      <c r="G21" s="21">
        <v>255</v>
      </c>
      <c r="H21" s="21">
        <v>28</v>
      </c>
      <c r="I21" s="22">
        <f t="shared" si="0"/>
        <v>9.1071428571428577</v>
      </c>
      <c r="J21" s="22">
        <v>4</v>
      </c>
      <c r="K21" s="19" t="s">
        <v>15</v>
      </c>
      <c r="L21" s="19">
        <v>137550.37</v>
      </c>
      <c r="M21" s="21">
        <v>26458</v>
      </c>
      <c r="N21" s="23">
        <v>45331</v>
      </c>
      <c r="O21" s="30" t="s">
        <v>11</v>
      </c>
      <c r="R21" s="17"/>
    </row>
    <row r="22" spans="1:19" s="24" customFormat="1" ht="24.75" customHeight="1">
      <c r="A22" s="17">
        <v>20</v>
      </c>
      <c r="B22" s="11">
        <v>17</v>
      </c>
      <c r="C22" s="7" t="s">
        <v>34</v>
      </c>
      <c r="D22" s="8">
        <v>317.39999999999998</v>
      </c>
      <c r="E22" s="8">
        <v>558.20000000000005</v>
      </c>
      <c r="F22" s="9">
        <f>(D22-E22)/E22</f>
        <v>-0.43138659978502336</v>
      </c>
      <c r="G22" s="10">
        <v>47</v>
      </c>
      <c r="H22" s="10">
        <v>9</v>
      </c>
      <c r="I22" s="11">
        <f t="shared" si="0"/>
        <v>5.2222222222222223</v>
      </c>
      <c r="J22" s="11">
        <v>6</v>
      </c>
      <c r="K22" s="11">
        <v>4</v>
      </c>
      <c r="L22" s="19">
        <v>9544.2000000000007</v>
      </c>
      <c r="M22" s="21">
        <v>1375</v>
      </c>
      <c r="N22" s="12">
        <v>45450</v>
      </c>
      <c r="O22" s="31" t="s">
        <v>14</v>
      </c>
      <c r="R22" s="17"/>
    </row>
    <row r="23" spans="1:19" s="27" customFormat="1" ht="24.75" customHeight="1">
      <c r="A23" s="17">
        <v>21</v>
      </c>
      <c r="B23" s="22" t="s">
        <v>15</v>
      </c>
      <c r="C23" s="18" t="s">
        <v>141</v>
      </c>
      <c r="D23" s="19">
        <v>255</v>
      </c>
      <c r="E23" s="19" t="s">
        <v>15</v>
      </c>
      <c r="F23" s="20" t="s">
        <v>15</v>
      </c>
      <c r="G23" s="21">
        <v>51</v>
      </c>
      <c r="H23" s="21">
        <v>1</v>
      </c>
      <c r="I23" s="22">
        <f t="shared" si="0"/>
        <v>51</v>
      </c>
      <c r="J23" s="22">
        <v>1</v>
      </c>
      <c r="K23" s="22" t="s">
        <v>15</v>
      </c>
      <c r="L23" s="19">
        <v>6796.41</v>
      </c>
      <c r="M23" s="21">
        <v>1566</v>
      </c>
      <c r="N23" s="23">
        <v>45239</v>
      </c>
      <c r="O23" s="30" t="s">
        <v>14</v>
      </c>
      <c r="R23" s="17"/>
      <c r="S23" s="24"/>
    </row>
    <row r="24" spans="1:19" ht="24.95" customHeight="1">
      <c r="A24" s="17">
        <v>22</v>
      </c>
      <c r="B24" s="11">
        <v>22</v>
      </c>
      <c r="C24" s="7" t="s">
        <v>38</v>
      </c>
      <c r="D24" s="32">
        <v>236.4</v>
      </c>
      <c r="E24" s="32">
        <v>277.2</v>
      </c>
      <c r="F24" s="9">
        <f t="shared" ref="F24:F31" si="1">(D24-E24)/E24</f>
        <v>-0.14718614718614714</v>
      </c>
      <c r="G24" s="33">
        <v>35</v>
      </c>
      <c r="H24" s="10">
        <v>7</v>
      </c>
      <c r="I24" s="11">
        <f t="shared" si="0"/>
        <v>5</v>
      </c>
      <c r="J24" s="11">
        <v>4</v>
      </c>
      <c r="K24" s="11">
        <v>5</v>
      </c>
      <c r="L24" s="28">
        <v>5335.51</v>
      </c>
      <c r="M24" s="29">
        <v>897</v>
      </c>
      <c r="N24" s="12">
        <v>45443</v>
      </c>
      <c r="O24" s="31" t="s">
        <v>64</v>
      </c>
      <c r="R24" s="6"/>
      <c r="S24" s="59"/>
    </row>
    <row r="25" spans="1:19" s="27" customFormat="1" ht="24.75" customHeight="1">
      <c r="A25" s="17">
        <v>23</v>
      </c>
      <c r="B25" s="11">
        <v>21</v>
      </c>
      <c r="C25" s="7" t="s">
        <v>115</v>
      </c>
      <c r="D25" s="8">
        <v>234</v>
      </c>
      <c r="E25" s="8">
        <v>331.6</v>
      </c>
      <c r="F25" s="9">
        <f t="shared" si="1"/>
        <v>-0.2943305186972256</v>
      </c>
      <c r="G25" s="10">
        <v>39</v>
      </c>
      <c r="H25" s="10">
        <v>8</v>
      </c>
      <c r="I25" s="11">
        <f t="shared" si="0"/>
        <v>4.875</v>
      </c>
      <c r="J25" s="11">
        <v>3</v>
      </c>
      <c r="K25" s="11">
        <v>3</v>
      </c>
      <c r="L25" s="19">
        <v>2262.38</v>
      </c>
      <c r="M25" s="21">
        <v>389</v>
      </c>
      <c r="N25" s="12">
        <v>45457</v>
      </c>
      <c r="O25" s="31" t="s">
        <v>116</v>
      </c>
      <c r="R25" s="17"/>
      <c r="S25" s="24"/>
    </row>
    <row r="26" spans="1:19" s="27" customFormat="1" ht="24.75" customHeight="1">
      <c r="A26" s="17">
        <v>24</v>
      </c>
      <c r="B26" s="22">
        <v>12</v>
      </c>
      <c r="C26" s="25" t="s">
        <v>41</v>
      </c>
      <c r="D26" s="28">
        <v>158.84</v>
      </c>
      <c r="E26" s="28">
        <v>2009.34</v>
      </c>
      <c r="F26" s="20">
        <f t="shared" si="1"/>
        <v>-0.92094916738829669</v>
      </c>
      <c r="G26" s="29">
        <v>29</v>
      </c>
      <c r="H26" s="21">
        <v>5</v>
      </c>
      <c r="I26" s="22">
        <f t="shared" si="0"/>
        <v>5.8</v>
      </c>
      <c r="J26" s="22">
        <v>2</v>
      </c>
      <c r="K26" s="22">
        <v>5</v>
      </c>
      <c r="L26" s="28">
        <v>22994.79</v>
      </c>
      <c r="M26" s="29">
        <v>3504</v>
      </c>
      <c r="N26" s="23">
        <v>45443</v>
      </c>
      <c r="O26" s="53" t="s">
        <v>19</v>
      </c>
    </row>
    <row r="27" spans="1:19" ht="24.75" customHeight="1">
      <c r="A27" s="17">
        <v>25</v>
      </c>
      <c r="B27" s="22">
        <v>10</v>
      </c>
      <c r="C27" s="18" t="s">
        <v>31</v>
      </c>
      <c r="D27" s="19">
        <v>120.1</v>
      </c>
      <c r="E27" s="19">
        <v>4152.1400000000003</v>
      </c>
      <c r="F27" s="20">
        <f t="shared" si="1"/>
        <v>-0.97107515642536135</v>
      </c>
      <c r="G27" s="21">
        <v>16</v>
      </c>
      <c r="H27" s="21">
        <v>2</v>
      </c>
      <c r="I27" s="22">
        <f t="shared" si="0"/>
        <v>8</v>
      </c>
      <c r="J27" s="22">
        <v>1</v>
      </c>
      <c r="K27" s="22">
        <v>8</v>
      </c>
      <c r="L27" s="19">
        <v>95429.92</v>
      </c>
      <c r="M27" s="21">
        <v>13875</v>
      </c>
      <c r="N27" s="23">
        <v>45422</v>
      </c>
      <c r="O27" s="30" t="s">
        <v>61</v>
      </c>
    </row>
    <row r="28" spans="1:19" ht="24.75" customHeight="1">
      <c r="A28" s="17">
        <v>26</v>
      </c>
      <c r="B28" s="22">
        <v>15</v>
      </c>
      <c r="C28" s="18" t="s">
        <v>33</v>
      </c>
      <c r="D28" s="19">
        <v>96.8</v>
      </c>
      <c r="E28" s="19">
        <v>1302.22</v>
      </c>
      <c r="F28" s="20">
        <f t="shared" si="1"/>
        <v>-0.92566540215938942</v>
      </c>
      <c r="G28" s="21">
        <v>13</v>
      </c>
      <c r="H28" s="21">
        <v>3</v>
      </c>
      <c r="I28" s="22">
        <f t="shared" si="0"/>
        <v>4.333333333333333</v>
      </c>
      <c r="J28" s="22">
        <v>1</v>
      </c>
      <c r="K28" s="22">
        <v>9</v>
      </c>
      <c r="L28" s="19">
        <v>92107.13</v>
      </c>
      <c r="M28" s="21">
        <v>13592</v>
      </c>
      <c r="N28" s="23">
        <v>45415</v>
      </c>
      <c r="O28" s="30" t="s">
        <v>12</v>
      </c>
    </row>
    <row r="29" spans="1:19" s="24" customFormat="1" ht="24.75" customHeight="1">
      <c r="A29" s="6">
        <v>27</v>
      </c>
      <c r="B29" s="6">
        <v>31</v>
      </c>
      <c r="C29" s="7" t="s">
        <v>46</v>
      </c>
      <c r="D29" s="8">
        <v>111.2</v>
      </c>
      <c r="E29" s="8">
        <v>118.7</v>
      </c>
      <c r="F29" s="9">
        <f t="shared" si="1"/>
        <v>-6.3184498736310019E-2</v>
      </c>
      <c r="G29" s="10">
        <v>14</v>
      </c>
      <c r="H29" s="11">
        <v>2</v>
      </c>
      <c r="I29" s="11">
        <f t="shared" ref="I29" si="2">G29/H29</f>
        <v>7</v>
      </c>
      <c r="J29" s="6">
        <v>1</v>
      </c>
      <c r="K29" s="11">
        <v>16</v>
      </c>
      <c r="L29" s="8">
        <v>67231.289999999994</v>
      </c>
      <c r="M29" s="10">
        <v>10372</v>
      </c>
      <c r="N29" s="12">
        <v>45379</v>
      </c>
      <c r="O29" s="31" t="s">
        <v>25</v>
      </c>
      <c r="R29" s="17"/>
    </row>
    <row r="30" spans="1:19" s="24" customFormat="1" ht="24.95" customHeight="1">
      <c r="A30" s="17">
        <v>28</v>
      </c>
      <c r="B30" s="17">
        <v>26</v>
      </c>
      <c r="C30" s="25" t="s">
        <v>149</v>
      </c>
      <c r="D30" s="19">
        <v>182.2</v>
      </c>
      <c r="E30" s="19">
        <v>202.4</v>
      </c>
      <c r="F30" s="20">
        <f t="shared" si="1"/>
        <v>-9.9802371541502052E-2</v>
      </c>
      <c r="G30" s="21">
        <v>33</v>
      </c>
      <c r="H30" s="17">
        <v>2</v>
      </c>
      <c r="I30" s="22">
        <v>24.833333333333332</v>
      </c>
      <c r="J30" s="17">
        <v>2</v>
      </c>
      <c r="K30" s="19" t="s">
        <v>15</v>
      </c>
      <c r="L30" s="8">
        <v>212379.2</v>
      </c>
      <c r="M30" s="21">
        <v>32873</v>
      </c>
      <c r="N30" s="23">
        <v>45191</v>
      </c>
      <c r="O30" s="53" t="s">
        <v>25</v>
      </c>
      <c r="R30" s="17"/>
    </row>
    <row r="31" spans="1:19" s="27" customFormat="1" ht="24.75" customHeight="1">
      <c r="A31" s="17">
        <v>29</v>
      </c>
      <c r="B31" s="11">
        <v>37</v>
      </c>
      <c r="C31" s="13" t="s">
        <v>73</v>
      </c>
      <c r="D31" s="8">
        <v>6</v>
      </c>
      <c r="E31" s="8">
        <v>14</v>
      </c>
      <c r="F31" s="9">
        <f t="shared" si="1"/>
        <v>-0.5714285714285714</v>
      </c>
      <c r="G31" s="10">
        <v>2</v>
      </c>
      <c r="H31" s="10">
        <v>3</v>
      </c>
      <c r="I31" s="11">
        <f>G31/H31</f>
        <v>0.66666666666666663</v>
      </c>
      <c r="J31" s="11">
        <v>1</v>
      </c>
      <c r="K31" s="11">
        <v>5</v>
      </c>
      <c r="L31" s="19">
        <v>1667.3</v>
      </c>
      <c r="M31" s="21">
        <v>494</v>
      </c>
      <c r="N31" s="12">
        <v>45443</v>
      </c>
      <c r="O31" s="34" t="s">
        <v>68</v>
      </c>
    </row>
    <row r="32" spans="1:19" ht="24.75" customHeight="1">
      <c r="A32" s="46" t="s">
        <v>26</v>
      </c>
      <c r="B32" s="57" t="s">
        <v>26</v>
      </c>
      <c r="C32" s="48" t="s">
        <v>150</v>
      </c>
      <c r="D32" s="49">
        <f>SUM(Table1324567[Pajamos 
(GBO)])</f>
        <v>369550.81000000006</v>
      </c>
      <c r="E32" s="49" t="s">
        <v>151</v>
      </c>
      <c r="F32" s="50">
        <f t="shared" ref="F32" si="3">(D32-E32)/E32</f>
        <v>-0.17958545346369348</v>
      </c>
      <c r="G32" s="52">
        <f>SUM(Table1324567[Žiūrovų sk. 
(ADM)])</f>
        <v>60082</v>
      </c>
      <c r="H32" s="57"/>
      <c r="I32" s="46"/>
      <c r="J32" s="46"/>
      <c r="K32" s="46"/>
      <c r="L32" s="54"/>
      <c r="M32" s="46"/>
      <c r="N32" s="46"/>
      <c r="O32" s="46" t="s">
        <v>26</v>
      </c>
    </row>
    <row r="33" spans="1:15" s="27" customFormat="1" ht="24.75" hidden="1" customHeight="1">
      <c r="A33" s="1"/>
      <c r="B33" s="58"/>
      <c r="C33" s="1"/>
      <c r="D33" s="1"/>
      <c r="E33" s="43"/>
      <c r="F33" s="37"/>
      <c r="G33" s="1"/>
      <c r="H33" s="58"/>
      <c r="I33" s="1"/>
      <c r="J33" s="1"/>
      <c r="K33" s="1"/>
      <c r="L33" s="43"/>
      <c r="M33" s="1"/>
      <c r="N33" s="1"/>
      <c r="O33" s="1"/>
    </row>
    <row r="34" spans="1:15" s="27" customFormat="1" ht="24.75" hidden="1" customHeight="1">
      <c r="A34" s="1"/>
      <c r="B34" s="58"/>
      <c r="C34" s="1"/>
      <c r="D34" s="1"/>
      <c r="E34" s="43"/>
      <c r="F34" s="37"/>
      <c r="G34" s="1"/>
      <c r="H34" s="58"/>
      <c r="I34" s="1"/>
      <c r="J34" s="1"/>
      <c r="K34" s="1"/>
      <c r="L34" s="43"/>
      <c r="M34" s="1"/>
      <c r="N34" s="1"/>
      <c r="O34" s="1"/>
    </row>
    <row r="35" spans="1:15" s="27" customFormat="1" ht="24.95" hidden="1" customHeight="1">
      <c r="A35" s="1"/>
      <c r="B35" s="58"/>
      <c r="C35" s="1"/>
      <c r="D35" s="1"/>
      <c r="E35" s="43"/>
      <c r="F35" s="37"/>
      <c r="G35" s="1"/>
      <c r="H35" s="58"/>
      <c r="I35" s="1"/>
      <c r="J35" s="1"/>
      <c r="K35" s="1"/>
      <c r="L35" s="43"/>
      <c r="M35" s="1"/>
      <c r="N35" s="1"/>
      <c r="O35" s="1"/>
    </row>
    <row r="36" spans="1:15" s="27" customFormat="1" ht="24.95" hidden="1" customHeight="1">
      <c r="A36" s="1"/>
      <c r="B36" s="58"/>
      <c r="C36" s="1"/>
      <c r="D36" s="1"/>
      <c r="E36" s="43"/>
      <c r="F36" s="37"/>
      <c r="G36" s="1"/>
      <c r="H36" s="58"/>
      <c r="I36" s="1"/>
      <c r="J36" s="1"/>
      <c r="K36" s="1"/>
      <c r="L36" s="43"/>
      <c r="M36" s="1"/>
      <c r="N36" s="1"/>
      <c r="O36" s="1"/>
    </row>
    <row r="37" spans="1:15" s="27" customFormat="1" ht="24.95" hidden="1" customHeight="1">
      <c r="A37" s="1"/>
      <c r="B37" s="58"/>
      <c r="C37" s="1"/>
      <c r="D37" s="1"/>
      <c r="E37" s="43"/>
      <c r="F37" s="37"/>
      <c r="G37" s="1"/>
      <c r="H37" s="58"/>
      <c r="I37" s="1"/>
      <c r="J37" s="1"/>
      <c r="K37" s="1"/>
      <c r="L37" s="43"/>
      <c r="M37" s="1"/>
      <c r="N37" s="1"/>
      <c r="O37" s="1"/>
    </row>
    <row r="38" spans="1:15" s="62" customFormat="1" ht="24.95" hidden="1" customHeight="1">
      <c r="A38" s="1"/>
      <c r="B38" s="58"/>
      <c r="C38" s="1"/>
      <c r="D38" s="1"/>
      <c r="E38" s="43"/>
      <c r="F38" s="37"/>
      <c r="G38" s="1"/>
      <c r="H38" s="58"/>
      <c r="I38" s="1"/>
      <c r="J38" s="1"/>
      <c r="K38" s="1"/>
      <c r="L38" s="43"/>
      <c r="M38" s="1"/>
      <c r="N38" s="1"/>
      <c r="O38" s="1"/>
    </row>
    <row r="39" spans="1:15" s="27" customFormat="1" ht="24.95" hidden="1" customHeight="1">
      <c r="A39" s="1"/>
      <c r="B39" s="58"/>
      <c r="C39" s="1"/>
      <c r="D39" s="1"/>
      <c r="E39" s="43"/>
      <c r="F39" s="37"/>
      <c r="G39" s="1"/>
      <c r="H39" s="58"/>
      <c r="I39" s="1"/>
      <c r="J39" s="1"/>
      <c r="K39" s="1"/>
      <c r="L39" s="43"/>
      <c r="M39" s="1"/>
      <c r="N39" s="1"/>
      <c r="O39" s="1"/>
    </row>
    <row r="40" spans="1:15" s="27" customFormat="1" ht="24.95" hidden="1" customHeight="1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5" s="62" customFormat="1" ht="24.95" hidden="1" customHeight="1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5" s="62" customFormat="1" ht="24.95" hidden="1" customHeight="1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5" s="62" customFormat="1" ht="24.95" hidden="1" customHeight="1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5" s="62" customFormat="1" ht="24.95" hidden="1" customHeight="1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5" s="62" customFormat="1" ht="24.95" hidden="1" customHeight="1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5" s="62" customFormat="1" ht="24.95" hidden="1" customHeight="1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5" s="62" customFormat="1" ht="24.95" hidden="1" customHeight="1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  <row r="48" spans="1:15" s="62" customFormat="1" ht="24.95" hidden="1" customHeight="1">
      <c r="A48" s="1"/>
      <c r="B48" s="58"/>
      <c r="C48" s="1"/>
      <c r="D48" s="1"/>
      <c r="E48" s="43"/>
      <c r="F48" s="37"/>
      <c r="G48" s="1"/>
      <c r="H48" s="58"/>
      <c r="I48" s="1"/>
      <c r="J48" s="1"/>
      <c r="K48" s="1"/>
      <c r="L48" s="43"/>
      <c r="M48" s="1"/>
      <c r="N48" s="1"/>
      <c r="O48" s="1"/>
    </row>
    <row r="49" spans="1:15" s="44" customFormat="1" ht="24.95" hidden="1" customHeight="1">
      <c r="A49" s="1"/>
      <c r="B49" s="58"/>
      <c r="C49" s="1"/>
      <c r="D49" s="1"/>
      <c r="E49" s="43"/>
      <c r="F49" s="37"/>
      <c r="G49" s="1"/>
      <c r="H49" s="58"/>
      <c r="I49" s="1"/>
      <c r="J49" s="1"/>
      <c r="K49" s="1"/>
      <c r="L49" s="43"/>
      <c r="M49" s="1"/>
      <c r="N49" s="1"/>
      <c r="O49" s="1"/>
    </row>
  </sheetData>
  <mergeCells count="1">
    <mergeCell ref="A1:O1"/>
  </mergeCells>
  <conditionalFormatting sqref="F31"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F7A69-0870-446A-9486-67DC9D073CD0}">
  <sheetPr>
    <pageSetUpPr fitToPage="1"/>
  </sheetPr>
  <dimension ref="A1:XFC41"/>
  <sheetViews>
    <sheetView topLeftCell="A12" zoomScale="60" zoomScaleNormal="60" workbookViewId="0">
      <selection activeCell="B31" sqref="B31:O31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3" t="s">
        <v>140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21">
        <v>1</v>
      </c>
      <c r="C3" s="25" t="s">
        <v>106</v>
      </c>
      <c r="D3" s="19">
        <v>284813.65999999997</v>
      </c>
      <c r="E3" s="19">
        <v>385884.9</v>
      </c>
      <c r="F3" s="20">
        <f>(D3-E3)/E3</f>
        <v>-0.26192069189543316</v>
      </c>
      <c r="G3" s="21">
        <v>48230</v>
      </c>
      <c r="H3" s="21">
        <v>759</v>
      </c>
      <c r="I3" s="22">
        <f t="shared" ref="I3:I20" si="0">G3/H3</f>
        <v>63.544137022397891</v>
      </c>
      <c r="J3" s="22">
        <v>31</v>
      </c>
      <c r="K3" s="22">
        <v>2</v>
      </c>
      <c r="L3" s="19">
        <v>687029.1</v>
      </c>
      <c r="M3" s="21">
        <v>115217</v>
      </c>
      <c r="N3" s="23">
        <v>45457</v>
      </c>
      <c r="O3" s="30" t="s">
        <v>18</v>
      </c>
    </row>
    <row r="4" spans="1:18" s="24" customFormat="1" ht="24.95" customHeight="1">
      <c r="A4" s="17">
        <v>2</v>
      </c>
      <c r="B4" s="21">
        <v>2</v>
      </c>
      <c r="C4" s="18" t="s">
        <v>78</v>
      </c>
      <c r="D4" s="19">
        <v>45033.48</v>
      </c>
      <c r="E4" s="19">
        <v>56881.39</v>
      </c>
      <c r="F4" s="20">
        <f>(D4-E4)/E4</f>
        <v>-0.20829149920562764</v>
      </c>
      <c r="G4" s="21">
        <v>6706</v>
      </c>
      <c r="H4" s="21">
        <v>245</v>
      </c>
      <c r="I4" s="22">
        <f t="shared" si="0"/>
        <v>27.37142857142857</v>
      </c>
      <c r="J4" s="22">
        <v>14</v>
      </c>
      <c r="K4" s="22">
        <v>3</v>
      </c>
      <c r="L4" s="19">
        <v>189129.14</v>
      </c>
      <c r="M4" s="21">
        <v>24981</v>
      </c>
      <c r="N4" s="23">
        <v>45450</v>
      </c>
      <c r="O4" s="30" t="s">
        <v>61</v>
      </c>
    </row>
    <row r="5" spans="1:18" s="24" customFormat="1" ht="24.95" customHeight="1">
      <c r="A5" s="17">
        <v>3</v>
      </c>
      <c r="B5" s="21">
        <v>3</v>
      </c>
      <c r="C5" s="18" t="s">
        <v>27</v>
      </c>
      <c r="D5" s="19">
        <v>44354.18</v>
      </c>
      <c r="E5" s="19">
        <v>45832.9</v>
      </c>
      <c r="F5" s="20">
        <f>(D5-E5)/E5</f>
        <v>-3.2263286852893903E-2</v>
      </c>
      <c r="G5" s="21">
        <v>8423</v>
      </c>
      <c r="H5" s="21">
        <v>313</v>
      </c>
      <c r="I5" s="22">
        <f t="shared" si="0"/>
        <v>26.910543130990416</v>
      </c>
      <c r="J5" s="22">
        <v>15</v>
      </c>
      <c r="K5" s="22">
        <v>5</v>
      </c>
      <c r="L5" s="19">
        <v>491028.85</v>
      </c>
      <c r="M5" s="21">
        <v>91003</v>
      </c>
      <c r="N5" s="23">
        <v>45436</v>
      </c>
      <c r="O5" s="30" t="s">
        <v>61</v>
      </c>
      <c r="R5" s="17"/>
    </row>
    <row r="6" spans="1:18" s="24" customFormat="1" ht="24.95" customHeight="1">
      <c r="A6" s="17">
        <v>4</v>
      </c>
      <c r="B6" s="21">
        <v>4</v>
      </c>
      <c r="C6" s="18" t="s">
        <v>79</v>
      </c>
      <c r="D6" s="19">
        <v>17434.86</v>
      </c>
      <c r="E6" s="19">
        <v>16253.79</v>
      </c>
      <c r="F6" s="20">
        <f>(D6-E6)/E6</f>
        <v>7.2664283222559148E-2</v>
      </c>
      <c r="G6" s="21">
        <v>2884</v>
      </c>
      <c r="H6" s="21">
        <v>147</v>
      </c>
      <c r="I6" s="22">
        <f t="shared" si="0"/>
        <v>19.61904761904762</v>
      </c>
      <c r="J6" s="22">
        <v>11</v>
      </c>
      <c r="K6" s="22">
        <v>3</v>
      </c>
      <c r="L6" s="19">
        <v>60013.89</v>
      </c>
      <c r="M6" s="21">
        <v>9358</v>
      </c>
      <c r="N6" s="23">
        <v>45450</v>
      </c>
      <c r="O6" s="30" t="s">
        <v>12</v>
      </c>
      <c r="R6" s="17"/>
    </row>
    <row r="7" spans="1:18" s="24" customFormat="1" ht="24.95" customHeight="1">
      <c r="A7" s="17">
        <v>5</v>
      </c>
      <c r="B7" s="10" t="s">
        <v>17</v>
      </c>
      <c r="C7" s="7" t="s">
        <v>120</v>
      </c>
      <c r="D7" s="8">
        <v>16711.32</v>
      </c>
      <c r="E7" s="9" t="s">
        <v>15</v>
      </c>
      <c r="F7" s="9" t="s">
        <v>15</v>
      </c>
      <c r="G7" s="10">
        <v>2674</v>
      </c>
      <c r="H7" s="10">
        <v>184</v>
      </c>
      <c r="I7" s="11">
        <f t="shared" si="0"/>
        <v>14.532608695652174</v>
      </c>
      <c r="J7" s="11">
        <v>19</v>
      </c>
      <c r="K7" s="11">
        <v>2</v>
      </c>
      <c r="L7" s="8">
        <v>16734.12</v>
      </c>
      <c r="M7" s="10">
        <v>2677</v>
      </c>
      <c r="N7" s="12">
        <v>45464</v>
      </c>
      <c r="O7" s="31" t="s">
        <v>14</v>
      </c>
      <c r="R7" s="17"/>
    </row>
    <row r="8" spans="1:18" s="24" customFormat="1" ht="24.95" customHeight="1">
      <c r="A8" s="17">
        <v>6</v>
      </c>
      <c r="B8" s="21">
        <v>5</v>
      </c>
      <c r="C8" s="18" t="s">
        <v>28</v>
      </c>
      <c r="D8" s="19">
        <v>8213.89</v>
      </c>
      <c r="E8" s="19">
        <v>11347</v>
      </c>
      <c r="F8" s="20">
        <f>(D8-E8)/E8</f>
        <v>-0.27611791662994628</v>
      </c>
      <c r="G8" s="21">
        <v>1349</v>
      </c>
      <c r="H8" s="21">
        <v>67</v>
      </c>
      <c r="I8" s="22">
        <f t="shared" si="0"/>
        <v>20.134328358208954</v>
      </c>
      <c r="J8" s="22">
        <v>9</v>
      </c>
      <c r="K8" s="22">
        <v>5</v>
      </c>
      <c r="L8" s="19">
        <v>113167.27</v>
      </c>
      <c r="M8" s="21">
        <v>15535</v>
      </c>
      <c r="N8" s="23">
        <v>45436</v>
      </c>
      <c r="O8" s="30" t="s">
        <v>12</v>
      </c>
      <c r="R8" s="17"/>
    </row>
    <row r="9" spans="1:18" s="24" customFormat="1" ht="24.95" customHeight="1">
      <c r="A9" s="17">
        <v>7</v>
      </c>
      <c r="B9" s="21">
        <v>6</v>
      </c>
      <c r="C9" s="25" t="s">
        <v>30</v>
      </c>
      <c r="D9" s="28">
        <v>5992.59</v>
      </c>
      <c r="E9" s="28">
        <v>6700.73</v>
      </c>
      <c r="F9" s="20">
        <f>(D9-E9)/E9</f>
        <v>-0.10568102281393213</v>
      </c>
      <c r="G9" s="29">
        <v>1029</v>
      </c>
      <c r="H9" s="21">
        <v>62</v>
      </c>
      <c r="I9" s="22">
        <f t="shared" si="0"/>
        <v>16.596774193548388</v>
      </c>
      <c r="J9" s="22">
        <v>6</v>
      </c>
      <c r="K9" s="22">
        <v>7</v>
      </c>
      <c r="L9" s="28">
        <v>121249.05</v>
      </c>
      <c r="M9" s="29">
        <v>17546</v>
      </c>
      <c r="N9" s="23">
        <v>45422</v>
      </c>
      <c r="O9" s="53" t="s">
        <v>18</v>
      </c>
      <c r="R9" s="17"/>
    </row>
    <row r="10" spans="1:18" s="24" customFormat="1" ht="24.95" customHeight="1">
      <c r="A10" s="17">
        <v>8</v>
      </c>
      <c r="B10" s="21">
        <v>8</v>
      </c>
      <c r="C10" s="25" t="s">
        <v>113</v>
      </c>
      <c r="D10" s="28">
        <v>5109.01</v>
      </c>
      <c r="E10" s="28">
        <v>5230.18</v>
      </c>
      <c r="F10" s="20">
        <f>(D10-E10)/E10</f>
        <v>-2.3167462687708657E-2</v>
      </c>
      <c r="G10" s="29">
        <v>956</v>
      </c>
      <c r="H10" s="21">
        <v>76</v>
      </c>
      <c r="I10" s="22">
        <f t="shared" si="0"/>
        <v>12.578947368421053</v>
      </c>
      <c r="J10" s="22">
        <v>11</v>
      </c>
      <c r="K10" s="22">
        <v>6</v>
      </c>
      <c r="L10" s="28">
        <v>100554.2</v>
      </c>
      <c r="M10" s="29">
        <v>19690</v>
      </c>
      <c r="N10" s="23">
        <v>45429</v>
      </c>
      <c r="O10" s="30" t="s">
        <v>62</v>
      </c>
      <c r="R10" s="17"/>
    </row>
    <row r="11" spans="1:18" s="24" customFormat="1" ht="24.75" customHeight="1">
      <c r="A11" s="17">
        <v>9</v>
      </c>
      <c r="B11" s="21" t="s">
        <v>23</v>
      </c>
      <c r="C11" s="25" t="s">
        <v>136</v>
      </c>
      <c r="D11" s="19">
        <v>4422.3599999999997</v>
      </c>
      <c r="E11" s="19" t="s">
        <v>15</v>
      </c>
      <c r="F11" s="20" t="s">
        <v>15</v>
      </c>
      <c r="G11" s="21">
        <v>724</v>
      </c>
      <c r="H11" s="21">
        <v>13</v>
      </c>
      <c r="I11" s="22">
        <f t="shared" si="0"/>
        <v>55.692307692307693</v>
      </c>
      <c r="J11" s="22">
        <v>10</v>
      </c>
      <c r="K11" s="22">
        <v>0</v>
      </c>
      <c r="L11" s="19">
        <v>4422.3599999999997</v>
      </c>
      <c r="M11" s="21">
        <v>724</v>
      </c>
      <c r="N11" s="23" t="s">
        <v>24</v>
      </c>
      <c r="O11" s="53" t="s">
        <v>62</v>
      </c>
      <c r="R11" s="17"/>
    </row>
    <row r="12" spans="1:18" s="24" customFormat="1" ht="24.95" customHeight="1">
      <c r="A12" s="17">
        <v>10</v>
      </c>
      <c r="B12" s="21">
        <v>7</v>
      </c>
      <c r="C12" s="18" t="s">
        <v>31</v>
      </c>
      <c r="D12" s="19">
        <v>4152.1400000000003</v>
      </c>
      <c r="E12" s="19">
        <v>6030.38</v>
      </c>
      <c r="F12" s="20">
        <f>(D12-E12)/E12</f>
        <v>-0.31146295921650041</v>
      </c>
      <c r="G12" s="21">
        <v>633</v>
      </c>
      <c r="H12" s="21">
        <v>39</v>
      </c>
      <c r="I12" s="22">
        <f t="shared" si="0"/>
        <v>16.23076923076923</v>
      </c>
      <c r="J12" s="22">
        <v>5</v>
      </c>
      <c r="K12" s="22">
        <v>7</v>
      </c>
      <c r="L12" s="19">
        <v>95309.82</v>
      </c>
      <c r="M12" s="21">
        <v>13859</v>
      </c>
      <c r="N12" s="23">
        <v>45422</v>
      </c>
      <c r="O12" s="30" t="s">
        <v>61</v>
      </c>
      <c r="R12" s="17"/>
    </row>
    <row r="13" spans="1:18" s="24" customFormat="1" ht="24.95" customHeight="1">
      <c r="A13" s="17">
        <v>11</v>
      </c>
      <c r="B13" s="21">
        <v>9</v>
      </c>
      <c r="C13" s="18" t="s">
        <v>29</v>
      </c>
      <c r="D13" s="19">
        <v>3014.68</v>
      </c>
      <c r="E13" s="19">
        <v>4169.1000000000004</v>
      </c>
      <c r="F13" s="20">
        <f>(D13-E13)/E13</f>
        <v>-0.27689909093089649</v>
      </c>
      <c r="G13" s="21">
        <v>483</v>
      </c>
      <c r="H13" s="21">
        <v>29</v>
      </c>
      <c r="I13" s="22">
        <f t="shared" si="0"/>
        <v>16.655172413793103</v>
      </c>
      <c r="J13" s="22">
        <v>6</v>
      </c>
      <c r="K13" s="22">
        <v>5</v>
      </c>
      <c r="L13" s="19">
        <v>29564.73</v>
      </c>
      <c r="M13" s="21">
        <v>4462</v>
      </c>
      <c r="N13" s="23">
        <v>45436</v>
      </c>
      <c r="O13" s="30" t="s">
        <v>11</v>
      </c>
      <c r="R13" s="17"/>
    </row>
    <row r="14" spans="1:18" s="24" customFormat="1" ht="24.95" customHeight="1">
      <c r="A14" s="17">
        <v>12</v>
      </c>
      <c r="B14" s="21">
        <v>10</v>
      </c>
      <c r="C14" s="25" t="s">
        <v>41</v>
      </c>
      <c r="D14" s="28">
        <v>2009.34</v>
      </c>
      <c r="E14" s="28">
        <v>2843.78</v>
      </c>
      <c r="F14" s="20">
        <f>(D14-E14)/E14</f>
        <v>-0.29342635506262799</v>
      </c>
      <c r="G14" s="29">
        <v>318</v>
      </c>
      <c r="H14" s="21">
        <v>27</v>
      </c>
      <c r="I14" s="22">
        <f t="shared" si="0"/>
        <v>11.777777777777779</v>
      </c>
      <c r="J14" s="22">
        <v>5</v>
      </c>
      <c r="K14" s="22">
        <v>4</v>
      </c>
      <c r="L14" s="28">
        <v>22835.95</v>
      </c>
      <c r="M14" s="29">
        <v>3475</v>
      </c>
      <c r="N14" s="23">
        <v>45443</v>
      </c>
      <c r="O14" s="53" t="s">
        <v>19</v>
      </c>
      <c r="R14" s="17"/>
    </row>
    <row r="15" spans="1:18" s="24" customFormat="1" ht="24.95" customHeight="1">
      <c r="A15" s="17">
        <v>13</v>
      </c>
      <c r="B15" s="21" t="s">
        <v>23</v>
      </c>
      <c r="C15" s="25" t="s">
        <v>138</v>
      </c>
      <c r="D15" s="19">
        <v>1467.18</v>
      </c>
      <c r="E15" s="19" t="s">
        <v>15</v>
      </c>
      <c r="F15" s="20" t="s">
        <v>15</v>
      </c>
      <c r="G15" s="21">
        <v>369</v>
      </c>
      <c r="H15" s="21">
        <v>15</v>
      </c>
      <c r="I15" s="22">
        <f t="shared" si="0"/>
        <v>24.6</v>
      </c>
      <c r="J15" s="22">
        <v>7</v>
      </c>
      <c r="K15" s="22">
        <v>0</v>
      </c>
      <c r="L15" s="19">
        <v>1467.18</v>
      </c>
      <c r="M15" s="21">
        <v>369</v>
      </c>
      <c r="N15" s="23" t="s">
        <v>24</v>
      </c>
      <c r="O15" s="53" t="s">
        <v>19</v>
      </c>
      <c r="R15" s="17"/>
    </row>
    <row r="16" spans="1:18" s="59" customFormat="1" ht="24.95" customHeight="1">
      <c r="A16" s="17">
        <v>14</v>
      </c>
      <c r="B16" s="21">
        <v>12</v>
      </c>
      <c r="C16" s="18" t="s">
        <v>35</v>
      </c>
      <c r="D16" s="19">
        <v>1367.88</v>
      </c>
      <c r="E16" s="19">
        <v>2174.9899999999998</v>
      </c>
      <c r="F16" s="20">
        <f>(D16-E16)/E16</f>
        <v>-0.37108676361730386</v>
      </c>
      <c r="G16" s="21">
        <v>294</v>
      </c>
      <c r="H16" s="21">
        <v>26</v>
      </c>
      <c r="I16" s="22">
        <f t="shared" si="0"/>
        <v>11.307692307692308</v>
      </c>
      <c r="J16" s="22">
        <v>3</v>
      </c>
      <c r="K16" s="22">
        <v>16</v>
      </c>
      <c r="L16" s="19">
        <v>872564.59</v>
      </c>
      <c r="M16" s="21">
        <v>151283</v>
      </c>
      <c r="N16" s="23">
        <v>45359</v>
      </c>
      <c r="O16" s="30" t="s">
        <v>63</v>
      </c>
      <c r="R16" s="6"/>
    </row>
    <row r="17" spans="1:19" s="59" customFormat="1" ht="24.95" customHeight="1">
      <c r="A17" s="17">
        <v>15</v>
      </c>
      <c r="B17" s="21">
        <v>11</v>
      </c>
      <c r="C17" s="18" t="s">
        <v>33</v>
      </c>
      <c r="D17" s="19">
        <v>1302.22</v>
      </c>
      <c r="E17" s="19">
        <v>2222.9</v>
      </c>
      <c r="F17" s="20">
        <f>(D17-E17)/E17</f>
        <v>-0.41417967519906429</v>
      </c>
      <c r="G17" s="21">
        <v>204</v>
      </c>
      <c r="H17" s="21">
        <v>12</v>
      </c>
      <c r="I17" s="22">
        <f t="shared" si="0"/>
        <v>17</v>
      </c>
      <c r="J17" s="22">
        <v>3</v>
      </c>
      <c r="K17" s="22">
        <v>8</v>
      </c>
      <c r="L17" s="19">
        <v>92010.33</v>
      </c>
      <c r="M17" s="21">
        <v>13579</v>
      </c>
      <c r="N17" s="23">
        <v>45415</v>
      </c>
      <c r="O17" s="30" t="s">
        <v>12</v>
      </c>
      <c r="R17" s="6"/>
    </row>
    <row r="18" spans="1:19" s="59" customFormat="1" ht="24.95" customHeight="1">
      <c r="A18" s="17">
        <v>16</v>
      </c>
      <c r="B18" s="10">
        <v>22</v>
      </c>
      <c r="C18" s="7" t="s">
        <v>84</v>
      </c>
      <c r="D18" s="8">
        <v>563</v>
      </c>
      <c r="E18" s="8">
        <v>504.4</v>
      </c>
      <c r="F18" s="9">
        <f>(D18-E18)/E18</f>
        <v>0.11617763679619354</v>
      </c>
      <c r="G18" s="10">
        <v>95</v>
      </c>
      <c r="H18" s="10">
        <v>9</v>
      </c>
      <c r="I18" s="11">
        <f t="shared" si="0"/>
        <v>10.555555555555555</v>
      </c>
      <c r="J18" s="11">
        <v>4</v>
      </c>
      <c r="K18" s="19" t="s">
        <v>15</v>
      </c>
      <c r="L18" s="8">
        <v>11706.25</v>
      </c>
      <c r="M18" s="10">
        <v>1872</v>
      </c>
      <c r="N18" s="12">
        <v>45408</v>
      </c>
      <c r="O18" s="31" t="s">
        <v>82</v>
      </c>
      <c r="R18" s="6"/>
    </row>
    <row r="19" spans="1:19" s="24" customFormat="1" ht="24.95" customHeight="1">
      <c r="A19" s="17">
        <v>17</v>
      </c>
      <c r="B19" s="10">
        <v>16</v>
      </c>
      <c r="C19" s="7" t="s">
        <v>34</v>
      </c>
      <c r="D19" s="8">
        <v>558.20000000000005</v>
      </c>
      <c r="E19" s="8">
        <v>1142.6099999999999</v>
      </c>
      <c r="F19" s="9">
        <f>(D19-E19)/E19</f>
        <v>-0.51146935524807235</v>
      </c>
      <c r="G19" s="10">
        <v>89</v>
      </c>
      <c r="H19" s="10">
        <v>10</v>
      </c>
      <c r="I19" s="11">
        <f t="shared" si="0"/>
        <v>8.9</v>
      </c>
      <c r="J19" s="11">
        <v>4</v>
      </c>
      <c r="K19" s="11">
        <v>3</v>
      </c>
      <c r="L19" s="8">
        <v>9226.8000000000011</v>
      </c>
      <c r="M19" s="10">
        <v>1328</v>
      </c>
      <c r="N19" s="12">
        <v>45450</v>
      </c>
      <c r="O19" s="31" t="s">
        <v>14</v>
      </c>
      <c r="R19" s="17"/>
    </row>
    <row r="20" spans="1:19" s="24" customFormat="1" ht="24.95" customHeight="1">
      <c r="A20" s="17">
        <v>18</v>
      </c>
      <c r="B20" s="20" t="s">
        <v>15</v>
      </c>
      <c r="C20" s="25" t="s">
        <v>133</v>
      </c>
      <c r="D20" s="19">
        <v>522</v>
      </c>
      <c r="E20" s="19" t="s">
        <v>15</v>
      </c>
      <c r="F20" s="20" t="s">
        <v>15</v>
      </c>
      <c r="G20" s="21">
        <v>224</v>
      </c>
      <c r="H20" s="21">
        <v>28</v>
      </c>
      <c r="I20" s="22">
        <f t="shared" si="0"/>
        <v>8</v>
      </c>
      <c r="J20" s="17">
        <v>4</v>
      </c>
      <c r="K20" s="19" t="s">
        <v>15</v>
      </c>
      <c r="L20" s="19">
        <v>154138.32999999999</v>
      </c>
      <c r="M20" s="21">
        <v>29900</v>
      </c>
      <c r="N20" s="23">
        <v>45184</v>
      </c>
      <c r="O20" s="53" t="s">
        <v>11</v>
      </c>
      <c r="R20" s="17"/>
    </row>
    <row r="21" spans="1:19" s="24" customFormat="1" ht="24.95" customHeight="1">
      <c r="A21" s="17">
        <v>19</v>
      </c>
      <c r="B21" s="20" t="s">
        <v>15</v>
      </c>
      <c r="C21" s="25" t="s">
        <v>134</v>
      </c>
      <c r="D21" s="19">
        <v>417</v>
      </c>
      <c r="E21" s="19" t="s">
        <v>15</v>
      </c>
      <c r="F21" s="20" t="s">
        <v>15</v>
      </c>
      <c r="G21" s="21">
        <v>185</v>
      </c>
      <c r="H21" s="21">
        <v>27</v>
      </c>
      <c r="I21" s="22">
        <v>3.0833333333333335</v>
      </c>
      <c r="J21" s="22">
        <v>4</v>
      </c>
      <c r="K21" s="19" t="s">
        <v>15</v>
      </c>
      <c r="L21" s="19">
        <v>207197.96</v>
      </c>
      <c r="M21" s="21">
        <v>42219</v>
      </c>
      <c r="N21" s="23">
        <v>45121</v>
      </c>
      <c r="O21" s="53" t="s">
        <v>11</v>
      </c>
      <c r="R21" s="17"/>
    </row>
    <row r="22" spans="1:19" s="24" customFormat="1" ht="24.75" customHeight="1">
      <c r="A22" s="17">
        <v>20</v>
      </c>
      <c r="B22" s="21">
        <v>13</v>
      </c>
      <c r="C22" s="18" t="s">
        <v>93</v>
      </c>
      <c r="D22" s="19">
        <v>392.20000000000005</v>
      </c>
      <c r="E22" s="19">
        <v>1699.28</v>
      </c>
      <c r="F22" s="20">
        <f>(D22-E22)/E22</f>
        <v>-0.76919636551951409</v>
      </c>
      <c r="G22" s="21">
        <v>66</v>
      </c>
      <c r="H22" s="21">
        <v>5</v>
      </c>
      <c r="I22" s="22">
        <f t="shared" ref="I22:I27" si="1">G22/H22</f>
        <v>13.2</v>
      </c>
      <c r="J22" s="22">
        <v>4</v>
      </c>
      <c r="K22" s="22">
        <v>4</v>
      </c>
      <c r="L22" s="19">
        <v>5443.59</v>
      </c>
      <c r="M22" s="21">
        <v>939</v>
      </c>
      <c r="N22" s="23">
        <v>45450</v>
      </c>
      <c r="O22" s="30" t="s">
        <v>82</v>
      </c>
      <c r="R22" s="17"/>
    </row>
    <row r="23" spans="1:19" s="27" customFormat="1" ht="24.75" customHeight="1">
      <c r="A23" s="17">
        <v>21</v>
      </c>
      <c r="B23" s="10">
        <v>14</v>
      </c>
      <c r="C23" s="7" t="s">
        <v>115</v>
      </c>
      <c r="D23" s="8">
        <v>331.6</v>
      </c>
      <c r="E23" s="8">
        <v>1696.78</v>
      </c>
      <c r="F23" s="9">
        <f>(D23-E23)/E23</f>
        <v>-0.80457101097372663</v>
      </c>
      <c r="G23" s="10">
        <v>71</v>
      </c>
      <c r="H23" s="10">
        <v>11</v>
      </c>
      <c r="I23" s="11">
        <f t="shared" si="1"/>
        <v>6.4545454545454541</v>
      </c>
      <c r="J23" s="11">
        <v>4</v>
      </c>
      <c r="K23" s="11">
        <v>2</v>
      </c>
      <c r="L23" s="8">
        <v>2028.38</v>
      </c>
      <c r="M23" s="10">
        <v>352</v>
      </c>
      <c r="N23" s="12">
        <v>45457</v>
      </c>
      <c r="O23" s="31" t="s">
        <v>116</v>
      </c>
      <c r="R23" s="17"/>
      <c r="S23" s="24"/>
    </row>
    <row r="24" spans="1:19" ht="24.95" customHeight="1">
      <c r="A24" s="17">
        <v>22</v>
      </c>
      <c r="B24" s="10">
        <v>26</v>
      </c>
      <c r="C24" s="7" t="s">
        <v>38</v>
      </c>
      <c r="D24" s="32">
        <v>277.2</v>
      </c>
      <c r="E24" s="32">
        <v>424.2</v>
      </c>
      <c r="F24" s="9">
        <f>(D24-E24)/E24</f>
        <v>-0.34653465346534656</v>
      </c>
      <c r="G24" s="33">
        <v>39</v>
      </c>
      <c r="H24" s="10">
        <v>4</v>
      </c>
      <c r="I24" s="11">
        <f t="shared" si="1"/>
        <v>9.75</v>
      </c>
      <c r="J24" s="11">
        <v>2</v>
      </c>
      <c r="K24" s="11">
        <v>4</v>
      </c>
      <c r="L24" s="32">
        <v>5099.1099999999997</v>
      </c>
      <c r="M24" s="33">
        <v>862</v>
      </c>
      <c r="N24" s="12">
        <v>45443</v>
      </c>
      <c r="O24" s="31" t="s">
        <v>64</v>
      </c>
      <c r="R24" s="6"/>
      <c r="S24" s="59"/>
    </row>
    <row r="25" spans="1:19" s="27" customFormat="1" ht="24.75" customHeight="1">
      <c r="A25" s="17">
        <v>23</v>
      </c>
      <c r="B25" s="9" t="s">
        <v>15</v>
      </c>
      <c r="C25" s="7" t="s">
        <v>129</v>
      </c>
      <c r="D25" s="8">
        <v>249.1</v>
      </c>
      <c r="E25" s="9" t="s">
        <v>15</v>
      </c>
      <c r="F25" s="9" t="s">
        <v>15</v>
      </c>
      <c r="G25" s="10">
        <v>46</v>
      </c>
      <c r="H25" s="10">
        <v>4</v>
      </c>
      <c r="I25" s="11">
        <f t="shared" si="1"/>
        <v>11.5</v>
      </c>
      <c r="J25" s="11">
        <v>2</v>
      </c>
      <c r="K25" s="11">
        <v>4</v>
      </c>
      <c r="L25" s="8">
        <v>1466.7</v>
      </c>
      <c r="M25" s="10">
        <v>321</v>
      </c>
      <c r="N25" s="12">
        <v>45450</v>
      </c>
      <c r="O25" s="31" t="s">
        <v>130</v>
      </c>
      <c r="R25" s="17"/>
      <c r="S25" s="24"/>
    </row>
    <row r="26" spans="1:19" ht="24.75" customHeight="1">
      <c r="A26" s="17">
        <v>24</v>
      </c>
      <c r="B26" s="21" t="s">
        <v>23</v>
      </c>
      <c r="C26" s="18" t="s">
        <v>131</v>
      </c>
      <c r="D26" s="19">
        <v>238.38</v>
      </c>
      <c r="E26" s="20" t="s">
        <v>15</v>
      </c>
      <c r="F26" s="20" t="s">
        <v>15</v>
      </c>
      <c r="G26" s="21">
        <v>35</v>
      </c>
      <c r="H26" s="21">
        <v>9</v>
      </c>
      <c r="I26" s="22">
        <f t="shared" si="1"/>
        <v>3.8888888888888888</v>
      </c>
      <c r="J26" s="22">
        <v>9</v>
      </c>
      <c r="K26" s="22">
        <v>0</v>
      </c>
      <c r="L26" s="19">
        <v>238.38</v>
      </c>
      <c r="M26" s="21">
        <v>35</v>
      </c>
      <c r="N26" s="23" t="s">
        <v>24</v>
      </c>
      <c r="O26" s="30" t="s">
        <v>11</v>
      </c>
    </row>
    <row r="27" spans="1:19" ht="24.75" customHeight="1">
      <c r="A27" s="17">
        <v>25</v>
      </c>
      <c r="B27" s="21">
        <v>31</v>
      </c>
      <c r="C27" s="18" t="s">
        <v>121</v>
      </c>
      <c r="D27" s="19">
        <v>208.99</v>
      </c>
      <c r="E27" s="19">
        <v>213.5</v>
      </c>
      <c r="F27" s="20">
        <f>(D27-E27)/E27</f>
        <v>-2.1124121779859444E-2</v>
      </c>
      <c r="G27" s="21">
        <v>64</v>
      </c>
      <c r="H27" s="21">
        <v>1</v>
      </c>
      <c r="I27" s="22">
        <f t="shared" si="1"/>
        <v>64</v>
      </c>
      <c r="J27" s="22">
        <v>1</v>
      </c>
      <c r="K27" s="19" t="s">
        <v>15</v>
      </c>
      <c r="L27" s="19">
        <v>65981.22</v>
      </c>
      <c r="M27" s="21">
        <v>13024</v>
      </c>
      <c r="N27" s="23">
        <v>45373</v>
      </c>
      <c r="O27" s="30" t="s">
        <v>66</v>
      </c>
    </row>
    <row r="28" spans="1:19" ht="24.75" customHeight="1">
      <c r="A28" s="17">
        <v>26</v>
      </c>
      <c r="B28" s="21">
        <v>33</v>
      </c>
      <c r="C28" s="25" t="s">
        <v>125</v>
      </c>
      <c r="D28" s="19">
        <v>202.4</v>
      </c>
      <c r="E28" s="19">
        <v>206.4</v>
      </c>
      <c r="F28" s="20">
        <f>(D28-E28)/E28</f>
        <v>-1.937984496124031E-2</v>
      </c>
      <c r="G28" s="21">
        <v>33</v>
      </c>
      <c r="H28" s="21">
        <v>3</v>
      </c>
      <c r="I28" s="22">
        <v>24.833333333333332</v>
      </c>
      <c r="J28" s="17">
        <v>2</v>
      </c>
      <c r="K28" s="19" t="s">
        <v>15</v>
      </c>
      <c r="L28" s="19">
        <v>209597</v>
      </c>
      <c r="M28" s="21">
        <v>32395</v>
      </c>
      <c r="N28" s="23">
        <v>45191</v>
      </c>
      <c r="O28" s="53" t="s">
        <v>25</v>
      </c>
    </row>
    <row r="29" spans="1:19" s="27" customFormat="1" ht="24.75" customHeight="1">
      <c r="A29" s="17">
        <v>27</v>
      </c>
      <c r="B29" s="10">
        <v>15</v>
      </c>
      <c r="C29" s="7" t="s">
        <v>83</v>
      </c>
      <c r="D29" s="8">
        <v>149.19999999999999</v>
      </c>
      <c r="E29" s="8">
        <v>1232.9000000000001</v>
      </c>
      <c r="F29" s="9">
        <f>(D29-E29)/E29</f>
        <v>-0.87898450807040307</v>
      </c>
      <c r="G29" s="10">
        <v>20</v>
      </c>
      <c r="H29" s="10">
        <v>2</v>
      </c>
      <c r="I29" s="11">
        <f>G29/H29</f>
        <v>10</v>
      </c>
      <c r="J29" s="11">
        <v>2</v>
      </c>
      <c r="K29" s="19" t="s">
        <v>15</v>
      </c>
      <c r="L29" s="8">
        <v>11531.19</v>
      </c>
      <c r="M29" s="10">
        <v>1958</v>
      </c>
      <c r="N29" s="12">
        <v>45387</v>
      </c>
      <c r="O29" s="31" t="s">
        <v>82</v>
      </c>
    </row>
    <row r="30" spans="1:19" ht="24.75" customHeight="1">
      <c r="A30" s="17">
        <v>28</v>
      </c>
      <c r="B30" s="21">
        <v>17</v>
      </c>
      <c r="C30" s="18" t="s">
        <v>32</v>
      </c>
      <c r="D30" s="19">
        <v>144.19999999999999</v>
      </c>
      <c r="E30" s="19">
        <v>879.07</v>
      </c>
      <c r="F30" s="20">
        <f>(D30-E30)/E30</f>
        <v>-0.83596300635899312</v>
      </c>
      <c r="G30" s="21">
        <v>22</v>
      </c>
      <c r="H30" s="21">
        <v>5</v>
      </c>
      <c r="I30" s="22">
        <f>G30/H30</f>
        <v>4.4000000000000004</v>
      </c>
      <c r="J30" s="22">
        <v>1</v>
      </c>
      <c r="K30" s="22">
        <v>9</v>
      </c>
      <c r="L30" s="19">
        <v>103805.87</v>
      </c>
      <c r="M30" s="21">
        <v>14906</v>
      </c>
      <c r="N30" s="23">
        <v>45408</v>
      </c>
      <c r="O30" s="30" t="s">
        <v>63</v>
      </c>
    </row>
    <row r="31" spans="1:19" s="27" customFormat="1" ht="24.75" customHeight="1">
      <c r="A31" s="17">
        <v>29</v>
      </c>
      <c r="B31" s="20" t="s">
        <v>15</v>
      </c>
      <c r="C31" s="25" t="s">
        <v>135</v>
      </c>
      <c r="D31" s="19">
        <v>126.68</v>
      </c>
      <c r="E31" s="19" t="s">
        <v>15</v>
      </c>
      <c r="F31" s="20" t="s">
        <v>15</v>
      </c>
      <c r="G31" s="21">
        <v>36</v>
      </c>
      <c r="H31" s="21">
        <v>2</v>
      </c>
      <c r="I31" s="22">
        <v>18</v>
      </c>
      <c r="J31" s="22">
        <v>2</v>
      </c>
      <c r="K31" s="19" t="s">
        <v>15</v>
      </c>
      <c r="L31" s="19">
        <v>31846.12</v>
      </c>
      <c r="M31" s="21">
        <v>5264</v>
      </c>
      <c r="N31" s="23">
        <v>45303</v>
      </c>
      <c r="O31" s="53" t="s">
        <v>66</v>
      </c>
    </row>
    <row r="32" spans="1:19" s="27" customFormat="1" ht="24.75" customHeight="1">
      <c r="A32" s="17">
        <v>30</v>
      </c>
      <c r="B32" s="10">
        <v>28</v>
      </c>
      <c r="C32" s="7" t="s">
        <v>81</v>
      </c>
      <c r="D32" s="8">
        <v>121.4</v>
      </c>
      <c r="E32" s="8">
        <v>244</v>
      </c>
      <c r="F32" s="9">
        <f>(D32-E32)/E32</f>
        <v>-0.50245901639344259</v>
      </c>
      <c r="G32" s="10">
        <v>22</v>
      </c>
      <c r="H32" s="10">
        <v>6</v>
      </c>
      <c r="I32" s="11">
        <f>G32/H32</f>
        <v>3.6666666666666665</v>
      </c>
      <c r="J32" s="11">
        <v>3</v>
      </c>
      <c r="K32" s="19" t="s">
        <v>15</v>
      </c>
      <c r="L32" s="8">
        <v>4093.1</v>
      </c>
      <c r="M32" s="10">
        <v>756</v>
      </c>
      <c r="N32" s="12">
        <v>45415</v>
      </c>
      <c r="O32" s="31" t="s">
        <v>82</v>
      </c>
    </row>
    <row r="33" spans="1:15" s="27" customFormat="1" ht="24.95" customHeight="1">
      <c r="A33" s="17">
        <v>31</v>
      </c>
      <c r="B33" s="21">
        <v>32</v>
      </c>
      <c r="C33" s="25" t="s">
        <v>46</v>
      </c>
      <c r="D33" s="19">
        <v>118.7</v>
      </c>
      <c r="E33" s="19">
        <v>209.1</v>
      </c>
      <c r="F33" s="20">
        <f>(D33-E33)/E33</f>
        <v>-0.43232902917264465</v>
      </c>
      <c r="G33" s="21">
        <v>15</v>
      </c>
      <c r="H33" s="21">
        <v>1</v>
      </c>
      <c r="I33" s="22">
        <f>G33/H33</f>
        <v>15</v>
      </c>
      <c r="J33" s="17">
        <v>1</v>
      </c>
      <c r="K33" s="22">
        <v>15</v>
      </c>
      <c r="L33" s="19">
        <v>66425.09</v>
      </c>
      <c r="M33" s="21">
        <v>10197</v>
      </c>
      <c r="N33" s="23">
        <v>45379</v>
      </c>
      <c r="O33" s="30" t="s">
        <v>25</v>
      </c>
    </row>
    <row r="34" spans="1:15" s="27" customFormat="1" ht="24.95" customHeight="1">
      <c r="A34" s="17">
        <v>32</v>
      </c>
      <c r="B34" s="20" t="s">
        <v>15</v>
      </c>
      <c r="C34" s="18" t="s">
        <v>132</v>
      </c>
      <c r="D34" s="19">
        <v>118</v>
      </c>
      <c r="E34" s="20" t="s">
        <v>15</v>
      </c>
      <c r="F34" s="20" t="s">
        <v>15</v>
      </c>
      <c r="G34" s="21">
        <v>59</v>
      </c>
      <c r="H34" s="21">
        <v>1</v>
      </c>
      <c r="I34" s="22">
        <f>G34/H34</f>
        <v>59</v>
      </c>
      <c r="J34" s="22">
        <v>1</v>
      </c>
      <c r="K34" s="19" t="s">
        <v>15</v>
      </c>
      <c r="L34" s="19">
        <v>18546.3</v>
      </c>
      <c r="M34" s="21">
        <v>4144</v>
      </c>
      <c r="N34" s="23">
        <v>44645</v>
      </c>
      <c r="O34" s="30" t="s">
        <v>11</v>
      </c>
    </row>
    <row r="35" spans="1:15" s="27" customFormat="1" ht="24.95" customHeight="1">
      <c r="A35" s="17">
        <v>33</v>
      </c>
      <c r="B35" s="20" t="s">
        <v>15</v>
      </c>
      <c r="C35" s="25" t="s">
        <v>137</v>
      </c>
      <c r="D35" s="19">
        <v>108</v>
      </c>
      <c r="E35" s="19" t="s">
        <v>15</v>
      </c>
      <c r="F35" s="20" t="s">
        <v>15</v>
      </c>
      <c r="G35" s="21">
        <v>18</v>
      </c>
      <c r="H35" s="21">
        <v>1</v>
      </c>
      <c r="I35" s="22">
        <f>G35/H35</f>
        <v>18</v>
      </c>
      <c r="J35" s="22">
        <v>1</v>
      </c>
      <c r="K35" s="19" t="s">
        <v>15</v>
      </c>
      <c r="L35" s="19">
        <v>13336.6</v>
      </c>
      <c r="M35" s="21">
        <v>2807</v>
      </c>
      <c r="N35" s="23">
        <v>45149</v>
      </c>
      <c r="O35" s="53" t="s">
        <v>123</v>
      </c>
    </row>
    <row r="36" spans="1:15" s="27" customFormat="1" ht="24.95" customHeight="1">
      <c r="A36" s="17">
        <v>34</v>
      </c>
      <c r="B36" s="21">
        <v>35</v>
      </c>
      <c r="C36" s="18" t="s">
        <v>104</v>
      </c>
      <c r="D36" s="19">
        <v>105.46</v>
      </c>
      <c r="E36" s="19">
        <v>175.5</v>
      </c>
      <c r="F36" s="20">
        <f>(D36-E36)/E36</f>
        <v>-0.3990883190883191</v>
      </c>
      <c r="G36" s="21">
        <v>33</v>
      </c>
      <c r="H36" s="21">
        <v>1</v>
      </c>
      <c r="I36" s="22">
        <f>G36/H36</f>
        <v>33</v>
      </c>
      <c r="J36" s="22">
        <v>1</v>
      </c>
      <c r="K36" s="19" t="s">
        <v>15</v>
      </c>
      <c r="L36" s="19">
        <v>136941.87</v>
      </c>
      <c r="M36" s="21">
        <v>26203</v>
      </c>
      <c r="N36" s="23">
        <v>45331</v>
      </c>
      <c r="O36" s="30" t="s">
        <v>11</v>
      </c>
    </row>
    <row r="37" spans="1:15" s="27" customFormat="1" ht="24.95" customHeight="1">
      <c r="A37" s="17">
        <v>35</v>
      </c>
      <c r="B37" s="10">
        <v>24</v>
      </c>
      <c r="C37" s="7" t="s">
        <v>37</v>
      </c>
      <c r="D37" s="8">
        <v>35</v>
      </c>
      <c r="E37" s="8">
        <v>430.51</v>
      </c>
      <c r="F37" s="9">
        <f>(D37-E37)/E37</f>
        <v>-0.91870107546863022</v>
      </c>
      <c r="G37" s="10">
        <v>7</v>
      </c>
      <c r="H37" s="10">
        <v>1</v>
      </c>
      <c r="I37" s="11">
        <v>7</v>
      </c>
      <c r="J37" s="11">
        <v>1</v>
      </c>
      <c r="K37" s="61">
        <v>11</v>
      </c>
      <c r="L37" s="8">
        <v>100228.86</v>
      </c>
      <c r="M37" s="10">
        <v>19205</v>
      </c>
      <c r="N37" s="12">
        <v>45401</v>
      </c>
      <c r="O37" s="31" t="s">
        <v>14</v>
      </c>
    </row>
    <row r="38" spans="1:15" s="27" customFormat="1" ht="24.95" customHeight="1">
      <c r="A38" s="17">
        <v>36</v>
      </c>
      <c r="B38" s="21">
        <v>38</v>
      </c>
      <c r="C38" s="18" t="s">
        <v>40</v>
      </c>
      <c r="D38" s="19">
        <v>34.599999999999994</v>
      </c>
      <c r="E38" s="19">
        <v>90.6</v>
      </c>
      <c r="F38" s="20">
        <f>(D38-E38)/E38</f>
        <v>-0.61810154525386318</v>
      </c>
      <c r="G38" s="21">
        <v>5</v>
      </c>
      <c r="H38" s="21">
        <v>2</v>
      </c>
      <c r="I38" s="22">
        <f>G38/H38</f>
        <v>2.5</v>
      </c>
      <c r="J38" s="22">
        <v>2</v>
      </c>
      <c r="K38" s="22">
        <v>7</v>
      </c>
      <c r="L38" s="19">
        <v>6443.8599999999979</v>
      </c>
      <c r="M38" s="21">
        <v>1148</v>
      </c>
      <c r="N38" s="23">
        <v>45429</v>
      </c>
      <c r="O38" s="30" t="s">
        <v>25</v>
      </c>
    </row>
    <row r="39" spans="1:15" s="27" customFormat="1" ht="24.95" customHeight="1">
      <c r="A39" s="17">
        <v>37</v>
      </c>
      <c r="B39" s="10">
        <v>25</v>
      </c>
      <c r="C39" s="13" t="s">
        <v>73</v>
      </c>
      <c r="D39" s="8">
        <v>14</v>
      </c>
      <c r="E39" s="8">
        <v>427</v>
      </c>
      <c r="F39" s="9">
        <f>(D39-E39)/E39</f>
        <v>-0.96721311475409832</v>
      </c>
      <c r="G39" s="10">
        <v>4</v>
      </c>
      <c r="H39" s="10">
        <v>5</v>
      </c>
      <c r="I39" s="11">
        <f>G39/H39</f>
        <v>0.8</v>
      </c>
      <c r="J39" s="11">
        <v>2</v>
      </c>
      <c r="K39" s="11">
        <v>4</v>
      </c>
      <c r="L39" s="8">
        <v>1223.3</v>
      </c>
      <c r="M39" s="10">
        <v>346</v>
      </c>
      <c r="N39" s="12">
        <v>45443</v>
      </c>
      <c r="O39" s="34" t="s">
        <v>68</v>
      </c>
    </row>
    <row r="40" spans="1:15" s="27" customFormat="1" ht="24.95" customHeight="1">
      <c r="A40" s="17">
        <v>38</v>
      </c>
      <c r="B40" s="21">
        <v>42</v>
      </c>
      <c r="C40" s="18" t="s">
        <v>50</v>
      </c>
      <c r="D40" s="19">
        <v>10</v>
      </c>
      <c r="E40" s="19">
        <v>12</v>
      </c>
      <c r="F40" s="20">
        <f>(D40-E40)/E40</f>
        <v>-0.16666666666666666</v>
      </c>
      <c r="G40" s="21">
        <v>2</v>
      </c>
      <c r="H40" s="21">
        <v>1</v>
      </c>
      <c r="I40" s="22">
        <f>G40/H40</f>
        <v>2</v>
      </c>
      <c r="J40" s="22">
        <v>1</v>
      </c>
      <c r="K40" s="22">
        <v>9</v>
      </c>
      <c r="L40" s="19">
        <v>30617.53</v>
      </c>
      <c r="M40" s="21">
        <v>5944</v>
      </c>
      <c r="N40" s="23">
        <v>45408</v>
      </c>
      <c r="O40" s="30" t="s">
        <v>11</v>
      </c>
    </row>
    <row r="41" spans="1:15" s="44" customFormat="1" ht="24.95" customHeight="1">
      <c r="A41" s="46" t="s">
        <v>26</v>
      </c>
      <c r="B41" s="57" t="s">
        <v>26</v>
      </c>
      <c r="C41" s="48" t="s">
        <v>139</v>
      </c>
      <c r="D41" s="49">
        <f>SUBTOTAL(109,Table132456[Pajamos 
(GBO)])</f>
        <v>450444.10000000003</v>
      </c>
      <c r="E41" s="49" t="s">
        <v>128</v>
      </c>
      <c r="F41" s="50">
        <f t="shared" ref="F41" si="2">(D41-E41)/E41</f>
        <v>-0.19517851208364745</v>
      </c>
      <c r="G41" s="52">
        <f>SUBTOTAL(109,Table132456[Žiūrovų sk. 
(ADM)])</f>
        <v>76466</v>
      </c>
      <c r="H41" s="57"/>
      <c r="I41" s="46"/>
      <c r="J41" s="46"/>
      <c r="K41" s="46"/>
      <c r="L41" s="54"/>
      <c r="M41" s="46"/>
      <c r="N41" s="46"/>
      <c r="O41" s="46" t="s">
        <v>26</v>
      </c>
    </row>
  </sheetData>
  <mergeCells count="1">
    <mergeCell ref="A1:O1"/>
  </mergeCells>
  <conditionalFormatting sqref="F2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F923A-11B6-45E0-A579-BCACC64FF4B7}">
  <sheetPr>
    <pageSetUpPr fitToPage="1"/>
  </sheetPr>
  <dimension ref="A1:XFC62"/>
  <sheetViews>
    <sheetView topLeftCell="A23" zoomScale="60" zoomScaleNormal="60" workbookViewId="0">
      <selection activeCell="C23" sqref="C23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3" t="s">
        <v>114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15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21" t="s">
        <v>17</v>
      </c>
      <c r="C3" s="25" t="s">
        <v>106</v>
      </c>
      <c r="D3" s="19">
        <v>385884.9</v>
      </c>
      <c r="E3" s="20" t="s">
        <v>15</v>
      </c>
      <c r="F3" s="20" t="s">
        <v>15</v>
      </c>
      <c r="G3" s="21">
        <v>64064</v>
      </c>
      <c r="H3" s="17">
        <v>657</v>
      </c>
      <c r="I3" s="22">
        <f t="shared" ref="I3:I44" si="0">G3/H3</f>
        <v>97.509893455098933</v>
      </c>
      <c r="J3" s="22">
        <v>30</v>
      </c>
      <c r="K3" s="22">
        <v>1</v>
      </c>
      <c r="L3" s="19">
        <v>402231.44</v>
      </c>
      <c r="M3" s="21">
        <v>66989</v>
      </c>
      <c r="N3" s="23">
        <v>45457</v>
      </c>
      <c r="O3" s="30" t="s">
        <v>18</v>
      </c>
    </row>
    <row r="4" spans="1:18" s="24" customFormat="1" ht="24.95" customHeight="1">
      <c r="A4" s="17">
        <v>2</v>
      </c>
      <c r="B4" s="21">
        <v>2</v>
      </c>
      <c r="C4" s="18" t="s">
        <v>78</v>
      </c>
      <c r="D4" s="19">
        <v>56881.39</v>
      </c>
      <c r="E4" s="19">
        <v>80632.58</v>
      </c>
      <c r="F4" s="20">
        <f t="shared" ref="F4:F15" si="1">(D4-E4)/E4</f>
        <v>-0.29456070982721877</v>
      </c>
      <c r="G4" s="21">
        <v>6985</v>
      </c>
      <c r="H4" s="22">
        <v>270</v>
      </c>
      <c r="I4" s="22">
        <f t="shared" si="0"/>
        <v>25.87037037037037</v>
      </c>
      <c r="J4" s="22">
        <v>15</v>
      </c>
      <c r="K4" s="22">
        <v>2</v>
      </c>
      <c r="L4" s="19">
        <v>142966.35999999999</v>
      </c>
      <c r="M4" s="21">
        <v>18080</v>
      </c>
      <c r="N4" s="23">
        <v>45450</v>
      </c>
      <c r="O4" s="30" t="s">
        <v>61</v>
      </c>
    </row>
    <row r="5" spans="1:18" s="24" customFormat="1" ht="24.95" customHeight="1">
      <c r="A5" s="17">
        <v>3</v>
      </c>
      <c r="B5" s="21">
        <v>1</v>
      </c>
      <c r="C5" s="18" t="s">
        <v>27</v>
      </c>
      <c r="D5" s="19">
        <v>45832.9</v>
      </c>
      <c r="E5" s="19">
        <v>140997.94</v>
      </c>
      <c r="F5" s="20">
        <f t="shared" si="1"/>
        <v>-0.67493922251630067</v>
      </c>
      <c r="G5" s="21">
        <v>8356</v>
      </c>
      <c r="H5" s="17">
        <v>341</v>
      </c>
      <c r="I5" s="22">
        <f t="shared" si="0"/>
        <v>24.504398826979472</v>
      </c>
      <c r="J5" s="22">
        <v>16</v>
      </c>
      <c r="K5" s="22">
        <v>4</v>
      </c>
      <c r="L5" s="19">
        <v>441478.07</v>
      </c>
      <c r="M5" s="21">
        <v>81419</v>
      </c>
      <c r="N5" s="23">
        <v>45436</v>
      </c>
      <c r="O5" s="30" t="s">
        <v>61</v>
      </c>
      <c r="R5" s="17"/>
    </row>
    <row r="6" spans="1:18" s="24" customFormat="1" ht="24.95" customHeight="1">
      <c r="A6" s="17">
        <v>4</v>
      </c>
      <c r="B6" s="21">
        <v>3</v>
      </c>
      <c r="C6" s="18" t="s">
        <v>79</v>
      </c>
      <c r="D6" s="19">
        <v>16253.79</v>
      </c>
      <c r="E6" s="19">
        <v>24125.38</v>
      </c>
      <c r="F6" s="20">
        <f t="shared" si="1"/>
        <v>-0.32627838400887366</v>
      </c>
      <c r="G6" s="21">
        <v>2398</v>
      </c>
      <c r="H6" s="22">
        <v>175</v>
      </c>
      <c r="I6" s="22">
        <f t="shared" si="0"/>
        <v>13.702857142857143</v>
      </c>
      <c r="J6" s="22">
        <v>13</v>
      </c>
      <c r="K6" s="22">
        <v>2</v>
      </c>
      <c r="L6" s="19">
        <v>42079.03</v>
      </c>
      <c r="M6" s="21">
        <v>6385</v>
      </c>
      <c r="N6" s="23">
        <v>45450</v>
      </c>
      <c r="O6" s="30" t="s">
        <v>12</v>
      </c>
      <c r="R6" s="17"/>
    </row>
    <row r="7" spans="1:18" s="24" customFormat="1" ht="24.95" customHeight="1">
      <c r="A7" s="17">
        <v>5</v>
      </c>
      <c r="B7" s="21">
        <v>5</v>
      </c>
      <c r="C7" s="18" t="s">
        <v>28</v>
      </c>
      <c r="D7" s="19">
        <v>11347</v>
      </c>
      <c r="E7" s="19">
        <v>19028.46</v>
      </c>
      <c r="F7" s="20">
        <f t="shared" si="1"/>
        <v>-0.40368269423799924</v>
      </c>
      <c r="G7" s="21">
        <v>1605</v>
      </c>
      <c r="H7" s="22">
        <v>113</v>
      </c>
      <c r="I7" s="22">
        <f t="shared" si="0"/>
        <v>14.20353982300885</v>
      </c>
      <c r="J7" s="22">
        <v>13</v>
      </c>
      <c r="K7" s="22">
        <v>4</v>
      </c>
      <c r="L7" s="19">
        <v>104953.38</v>
      </c>
      <c r="M7" s="21">
        <v>14186</v>
      </c>
      <c r="N7" s="23">
        <v>45436</v>
      </c>
      <c r="O7" s="30" t="s">
        <v>12</v>
      </c>
      <c r="R7" s="17"/>
    </row>
    <row r="8" spans="1:18" s="24" customFormat="1" ht="24.95" customHeight="1">
      <c r="A8" s="17">
        <v>6</v>
      </c>
      <c r="B8" s="21">
        <v>7</v>
      </c>
      <c r="C8" s="25" t="s">
        <v>30</v>
      </c>
      <c r="D8" s="28">
        <v>6700.73</v>
      </c>
      <c r="E8" s="28">
        <v>9875.94</v>
      </c>
      <c r="F8" s="20">
        <f t="shared" si="1"/>
        <v>-0.32150964870179455</v>
      </c>
      <c r="G8" s="29">
        <v>995</v>
      </c>
      <c r="H8" s="21">
        <v>92</v>
      </c>
      <c r="I8" s="22">
        <f t="shared" si="0"/>
        <v>10.815217391304348</v>
      </c>
      <c r="J8" s="22">
        <v>9</v>
      </c>
      <c r="K8" s="22">
        <v>6</v>
      </c>
      <c r="L8" s="28">
        <v>115256.46</v>
      </c>
      <c r="M8" s="29">
        <v>16517</v>
      </c>
      <c r="N8" s="23">
        <v>45422</v>
      </c>
      <c r="O8" s="53" t="s">
        <v>18</v>
      </c>
      <c r="R8" s="17"/>
    </row>
    <row r="9" spans="1:18" s="24" customFormat="1" ht="24.95" customHeight="1">
      <c r="A9" s="17">
        <v>7</v>
      </c>
      <c r="B9" s="21">
        <v>8</v>
      </c>
      <c r="C9" s="18" t="s">
        <v>31</v>
      </c>
      <c r="D9" s="19">
        <v>6030.38</v>
      </c>
      <c r="E9" s="19">
        <v>7734.77</v>
      </c>
      <c r="F9" s="20">
        <f t="shared" si="1"/>
        <v>-0.22035432210653971</v>
      </c>
      <c r="G9" s="21">
        <v>843</v>
      </c>
      <c r="H9" s="22">
        <v>53</v>
      </c>
      <c r="I9" s="22">
        <f t="shared" si="0"/>
        <v>15.90566037735849</v>
      </c>
      <c r="J9" s="22">
        <v>6</v>
      </c>
      <c r="K9" s="22">
        <v>6</v>
      </c>
      <c r="L9" s="19">
        <v>91157.68</v>
      </c>
      <c r="M9" s="21">
        <v>13226</v>
      </c>
      <c r="N9" s="23">
        <v>45422</v>
      </c>
      <c r="O9" s="30" t="s">
        <v>61</v>
      </c>
      <c r="R9" s="17"/>
    </row>
    <row r="10" spans="1:18" s="24" customFormat="1" ht="24.95" customHeight="1">
      <c r="A10" s="17">
        <v>8</v>
      </c>
      <c r="B10" s="21">
        <v>4</v>
      </c>
      <c r="C10" s="25" t="s">
        <v>113</v>
      </c>
      <c r="D10" s="28">
        <v>5230.18</v>
      </c>
      <c r="E10" s="28">
        <v>20170.259999999998</v>
      </c>
      <c r="F10" s="20">
        <f t="shared" si="1"/>
        <v>-0.74069843422940507</v>
      </c>
      <c r="G10" s="29">
        <v>999</v>
      </c>
      <c r="H10" s="21">
        <v>130</v>
      </c>
      <c r="I10" s="22">
        <f t="shared" si="0"/>
        <v>7.6846153846153848</v>
      </c>
      <c r="J10" s="22">
        <v>12</v>
      </c>
      <c r="K10" s="22">
        <v>5</v>
      </c>
      <c r="L10" s="28">
        <v>95445.19</v>
      </c>
      <c r="M10" s="29">
        <v>18734</v>
      </c>
      <c r="N10" s="23">
        <v>45429</v>
      </c>
      <c r="O10" s="30" t="s">
        <v>62</v>
      </c>
      <c r="R10" s="17"/>
    </row>
    <row r="11" spans="1:18" s="24" customFormat="1" ht="24.75" customHeight="1">
      <c r="A11" s="17">
        <v>9</v>
      </c>
      <c r="B11" s="21">
        <v>11</v>
      </c>
      <c r="C11" s="18" t="s">
        <v>29</v>
      </c>
      <c r="D11" s="19">
        <v>4169.1000000000004</v>
      </c>
      <c r="E11" s="19">
        <v>3952.41</v>
      </c>
      <c r="F11" s="20">
        <f t="shared" si="1"/>
        <v>5.482477779380189E-2</v>
      </c>
      <c r="G11" s="21">
        <v>611</v>
      </c>
      <c r="H11" s="22">
        <v>45</v>
      </c>
      <c r="I11" s="22">
        <f t="shared" si="0"/>
        <v>13.577777777777778</v>
      </c>
      <c r="J11" s="22">
        <v>6</v>
      </c>
      <c r="K11" s="22">
        <v>4</v>
      </c>
      <c r="L11" s="19">
        <v>26550.05</v>
      </c>
      <c r="M11" s="21">
        <v>3979</v>
      </c>
      <c r="N11" s="23">
        <v>45436</v>
      </c>
      <c r="O11" s="30" t="s">
        <v>11</v>
      </c>
      <c r="R11" s="17"/>
    </row>
    <row r="12" spans="1:18" s="24" customFormat="1" ht="24.95" customHeight="1">
      <c r="A12" s="17">
        <v>10</v>
      </c>
      <c r="B12" s="21">
        <v>9</v>
      </c>
      <c r="C12" s="25" t="s">
        <v>41</v>
      </c>
      <c r="D12" s="28">
        <v>2843.78</v>
      </c>
      <c r="E12" s="28">
        <v>6721.69</v>
      </c>
      <c r="F12" s="20">
        <f t="shared" si="1"/>
        <v>-0.57692485074438116</v>
      </c>
      <c r="G12" s="29">
        <v>422</v>
      </c>
      <c r="H12" s="21">
        <v>53</v>
      </c>
      <c r="I12" s="22">
        <f t="shared" si="0"/>
        <v>7.9622641509433958</v>
      </c>
      <c r="J12" s="22">
        <v>8</v>
      </c>
      <c r="K12" s="22">
        <v>3</v>
      </c>
      <c r="L12" s="28">
        <v>20718.61</v>
      </c>
      <c r="M12" s="29">
        <v>3135</v>
      </c>
      <c r="N12" s="23">
        <v>45443</v>
      </c>
      <c r="O12" s="53" t="s">
        <v>19</v>
      </c>
      <c r="R12" s="17"/>
    </row>
    <row r="13" spans="1:18" s="24" customFormat="1" ht="24.95" customHeight="1">
      <c r="A13" s="17">
        <v>11</v>
      </c>
      <c r="B13" s="21">
        <v>13</v>
      </c>
      <c r="C13" s="18" t="s">
        <v>33</v>
      </c>
      <c r="D13" s="19">
        <v>2222.9</v>
      </c>
      <c r="E13" s="19">
        <v>2683.51</v>
      </c>
      <c r="F13" s="20">
        <f t="shared" si="1"/>
        <v>-0.17164459979653518</v>
      </c>
      <c r="G13" s="21">
        <v>336</v>
      </c>
      <c r="H13" s="22">
        <v>22</v>
      </c>
      <c r="I13" s="22">
        <f t="shared" si="0"/>
        <v>15.272727272727273</v>
      </c>
      <c r="J13" s="22">
        <v>4</v>
      </c>
      <c r="K13" s="22">
        <v>7</v>
      </c>
      <c r="L13" s="19">
        <v>90708.11</v>
      </c>
      <c r="M13" s="21">
        <v>13375</v>
      </c>
      <c r="N13" s="23">
        <v>45415</v>
      </c>
      <c r="O13" s="30" t="s">
        <v>12</v>
      </c>
      <c r="R13" s="17"/>
    </row>
    <row r="14" spans="1:18" s="24" customFormat="1" ht="24.95" customHeight="1">
      <c r="A14" s="17">
        <v>12</v>
      </c>
      <c r="B14" s="21">
        <v>10</v>
      </c>
      <c r="C14" s="18" t="s">
        <v>35</v>
      </c>
      <c r="D14" s="19">
        <v>2174.9899999999998</v>
      </c>
      <c r="E14" s="19">
        <v>4730.8500000000004</v>
      </c>
      <c r="F14" s="20">
        <f t="shared" si="1"/>
        <v>-0.5402538655844088</v>
      </c>
      <c r="G14" s="21">
        <v>378</v>
      </c>
      <c r="H14" s="22">
        <v>64</v>
      </c>
      <c r="I14" s="22">
        <f t="shared" si="0"/>
        <v>5.90625</v>
      </c>
      <c r="J14" s="22">
        <v>7</v>
      </c>
      <c r="K14" s="22">
        <v>15</v>
      </c>
      <c r="L14" s="19">
        <v>871196.71</v>
      </c>
      <c r="M14" s="21">
        <v>150989</v>
      </c>
      <c r="N14" s="23">
        <v>45359</v>
      </c>
      <c r="O14" s="30" t="s">
        <v>63</v>
      </c>
      <c r="R14" s="17"/>
    </row>
    <row r="15" spans="1:18" s="24" customFormat="1" ht="24.95" customHeight="1">
      <c r="A15" s="17">
        <v>13</v>
      </c>
      <c r="B15" s="21">
        <v>15</v>
      </c>
      <c r="C15" s="18" t="s">
        <v>93</v>
      </c>
      <c r="D15" s="19">
        <v>1699.28</v>
      </c>
      <c r="E15" s="19">
        <v>1602.89</v>
      </c>
      <c r="F15" s="20">
        <f t="shared" si="1"/>
        <v>6.013513091977607E-2</v>
      </c>
      <c r="G15" s="21">
        <v>317</v>
      </c>
      <c r="H15" s="22">
        <v>20</v>
      </c>
      <c r="I15" s="22">
        <f t="shared" si="0"/>
        <v>15.85</v>
      </c>
      <c r="J15" s="22">
        <v>10</v>
      </c>
      <c r="K15" s="22">
        <v>2</v>
      </c>
      <c r="L15" s="19">
        <v>5051.3900000000003</v>
      </c>
      <c r="M15" s="21">
        <v>873</v>
      </c>
      <c r="N15" s="23">
        <v>45450</v>
      </c>
      <c r="O15" s="30" t="s">
        <v>82</v>
      </c>
      <c r="R15" s="17"/>
    </row>
    <row r="16" spans="1:18" s="24" customFormat="1" ht="24.95" customHeight="1">
      <c r="A16" s="17">
        <v>14</v>
      </c>
      <c r="B16" s="21" t="s">
        <v>17</v>
      </c>
      <c r="C16" s="18" t="s">
        <v>115</v>
      </c>
      <c r="D16" s="19">
        <v>1696.78</v>
      </c>
      <c r="E16" s="20" t="s">
        <v>15</v>
      </c>
      <c r="F16" s="20" t="s">
        <v>15</v>
      </c>
      <c r="G16" s="21">
        <v>281</v>
      </c>
      <c r="H16" s="22">
        <v>42</v>
      </c>
      <c r="I16" s="22">
        <f t="shared" si="0"/>
        <v>6.6904761904761907</v>
      </c>
      <c r="J16" s="22">
        <v>10</v>
      </c>
      <c r="K16" s="22">
        <v>1</v>
      </c>
      <c r="L16" s="19">
        <v>1669.78</v>
      </c>
      <c r="M16" s="21">
        <v>281</v>
      </c>
      <c r="N16" s="23">
        <v>45457</v>
      </c>
      <c r="O16" s="30" t="s">
        <v>116</v>
      </c>
      <c r="R16" s="17"/>
    </row>
    <row r="17" spans="1:19" s="24" customFormat="1" ht="24.95" customHeight="1">
      <c r="A17" s="17">
        <v>15</v>
      </c>
      <c r="B17" s="19" t="s">
        <v>15</v>
      </c>
      <c r="C17" s="18" t="s">
        <v>83</v>
      </c>
      <c r="D17" s="19">
        <v>1232.9000000000001</v>
      </c>
      <c r="E17" s="19" t="s">
        <v>15</v>
      </c>
      <c r="F17" s="19" t="s">
        <v>15</v>
      </c>
      <c r="G17" s="21">
        <v>227</v>
      </c>
      <c r="H17" s="22">
        <v>6</v>
      </c>
      <c r="I17" s="22">
        <f t="shared" si="0"/>
        <v>37.833333333333336</v>
      </c>
      <c r="J17" s="22">
        <v>5</v>
      </c>
      <c r="K17" s="22" t="s">
        <v>15</v>
      </c>
      <c r="L17" s="19">
        <v>11381.99</v>
      </c>
      <c r="M17" s="21">
        <v>1938</v>
      </c>
      <c r="N17" s="23">
        <v>45387</v>
      </c>
      <c r="O17" s="30" t="s">
        <v>82</v>
      </c>
      <c r="R17" s="17"/>
    </row>
    <row r="18" spans="1:19" s="24" customFormat="1" ht="24.95" customHeight="1">
      <c r="A18" s="17">
        <v>16</v>
      </c>
      <c r="B18" s="21">
        <v>12</v>
      </c>
      <c r="C18" s="18" t="s">
        <v>34</v>
      </c>
      <c r="D18" s="19">
        <v>1142.6099999999999</v>
      </c>
      <c r="E18" s="19">
        <v>3553.99</v>
      </c>
      <c r="F18" s="20">
        <f>(D18-E18)/E18</f>
        <v>-0.67849937675682837</v>
      </c>
      <c r="G18" s="21">
        <v>187</v>
      </c>
      <c r="H18" s="22">
        <v>26</v>
      </c>
      <c r="I18" s="22">
        <f t="shared" si="0"/>
        <v>7.1923076923076925</v>
      </c>
      <c r="J18" s="22">
        <v>8</v>
      </c>
      <c r="K18" s="22">
        <v>2</v>
      </c>
      <c r="L18" s="19">
        <v>8668.6</v>
      </c>
      <c r="M18" s="21">
        <v>1239</v>
      </c>
      <c r="N18" s="23">
        <v>45450</v>
      </c>
      <c r="O18" s="30" t="s">
        <v>14</v>
      </c>
      <c r="R18" s="17"/>
    </row>
    <row r="19" spans="1:19" s="24" customFormat="1" ht="24.95" customHeight="1">
      <c r="A19" s="17">
        <v>17</v>
      </c>
      <c r="B19" s="21">
        <v>16</v>
      </c>
      <c r="C19" s="18" t="s">
        <v>32</v>
      </c>
      <c r="D19" s="19">
        <v>879.07</v>
      </c>
      <c r="E19" s="19">
        <v>1148.78</v>
      </c>
      <c r="F19" s="20">
        <f>(D19-E19)/E19</f>
        <v>-0.23477950521422722</v>
      </c>
      <c r="G19" s="21">
        <v>146</v>
      </c>
      <c r="H19" s="22">
        <v>15</v>
      </c>
      <c r="I19" s="22">
        <f t="shared" si="0"/>
        <v>9.7333333333333325</v>
      </c>
      <c r="J19" s="22">
        <v>2</v>
      </c>
      <c r="K19" s="22">
        <v>8</v>
      </c>
      <c r="L19" s="19">
        <v>103661.67</v>
      </c>
      <c r="M19" s="21">
        <v>14884</v>
      </c>
      <c r="N19" s="23">
        <v>45408</v>
      </c>
      <c r="O19" s="30" t="s">
        <v>63</v>
      </c>
      <c r="R19" s="17"/>
    </row>
    <row r="20" spans="1:19" s="24" customFormat="1" ht="24.95" customHeight="1">
      <c r="A20" s="17">
        <v>18</v>
      </c>
      <c r="B20" s="22" t="s">
        <v>15</v>
      </c>
      <c r="C20" s="18" t="s">
        <v>117</v>
      </c>
      <c r="D20" s="19">
        <v>847</v>
      </c>
      <c r="E20" s="19" t="s">
        <v>15</v>
      </c>
      <c r="F20" s="20" t="s">
        <v>15</v>
      </c>
      <c r="G20" s="21">
        <v>426</v>
      </c>
      <c r="H20" s="22">
        <v>28</v>
      </c>
      <c r="I20" s="22">
        <f t="shared" si="0"/>
        <v>15.214285714285714</v>
      </c>
      <c r="J20" s="17">
        <v>4</v>
      </c>
      <c r="K20" s="22" t="s">
        <v>15</v>
      </c>
      <c r="L20" s="19">
        <v>43041.82</v>
      </c>
      <c r="M20" s="21">
        <v>8790</v>
      </c>
      <c r="N20" s="23">
        <v>45289</v>
      </c>
      <c r="O20" s="30" t="s">
        <v>14</v>
      </c>
      <c r="R20" s="17"/>
    </row>
    <row r="21" spans="1:19" s="24" customFormat="1" ht="24.95" customHeight="1">
      <c r="A21" s="17">
        <v>19</v>
      </c>
      <c r="B21" s="22" t="s">
        <v>15</v>
      </c>
      <c r="C21" s="18" t="s">
        <v>124</v>
      </c>
      <c r="D21" s="19">
        <v>835</v>
      </c>
      <c r="E21" s="19" t="s">
        <v>15</v>
      </c>
      <c r="F21" s="20" t="s">
        <v>15</v>
      </c>
      <c r="G21" s="21">
        <v>123</v>
      </c>
      <c r="H21" s="22">
        <v>1</v>
      </c>
      <c r="I21" s="22">
        <f t="shared" si="0"/>
        <v>123</v>
      </c>
      <c r="J21" s="22">
        <v>1</v>
      </c>
      <c r="K21" s="22" t="s">
        <v>15</v>
      </c>
      <c r="L21" s="19">
        <v>34018.25</v>
      </c>
      <c r="M21" s="21">
        <v>5233</v>
      </c>
      <c r="N21" s="23">
        <v>45275</v>
      </c>
      <c r="O21" s="30" t="s">
        <v>25</v>
      </c>
      <c r="R21" s="17"/>
    </row>
    <row r="22" spans="1:19" s="24" customFormat="1" ht="24.75" customHeight="1">
      <c r="A22" s="17">
        <v>20</v>
      </c>
      <c r="B22" s="22" t="s">
        <v>15</v>
      </c>
      <c r="C22" s="18" t="s">
        <v>118</v>
      </c>
      <c r="D22" s="19">
        <v>616.55999999999995</v>
      </c>
      <c r="E22" s="19" t="s">
        <v>15</v>
      </c>
      <c r="F22" s="20" t="s">
        <v>15</v>
      </c>
      <c r="G22" s="21">
        <v>161</v>
      </c>
      <c r="H22" s="22">
        <v>28</v>
      </c>
      <c r="I22" s="22">
        <f t="shared" si="0"/>
        <v>5.75</v>
      </c>
      <c r="J22" s="17">
        <v>4</v>
      </c>
      <c r="K22" s="22" t="s">
        <v>15</v>
      </c>
      <c r="L22" s="19">
        <v>69789.329999999987</v>
      </c>
      <c r="M22" s="21">
        <v>13823</v>
      </c>
      <c r="N22" s="23">
        <v>45338</v>
      </c>
      <c r="O22" s="30" t="s">
        <v>14</v>
      </c>
      <c r="R22" s="17"/>
    </row>
    <row r="23" spans="1:19" s="27" customFormat="1" ht="24.75" customHeight="1">
      <c r="A23" s="17">
        <v>21</v>
      </c>
      <c r="B23" s="21">
        <v>24</v>
      </c>
      <c r="C23" s="25" t="s">
        <v>53</v>
      </c>
      <c r="D23" s="19">
        <v>530</v>
      </c>
      <c r="E23" s="19">
        <v>320</v>
      </c>
      <c r="F23" s="20">
        <f>(D23-E23)/E23</f>
        <v>0.65625</v>
      </c>
      <c r="G23" s="21">
        <v>106</v>
      </c>
      <c r="H23" s="17">
        <v>1</v>
      </c>
      <c r="I23" s="22">
        <f t="shared" si="0"/>
        <v>106</v>
      </c>
      <c r="J23" s="17">
        <v>1</v>
      </c>
      <c r="K23" s="22" t="s">
        <v>15</v>
      </c>
      <c r="L23" s="19">
        <v>1561.51</v>
      </c>
      <c r="M23" s="21">
        <v>310</v>
      </c>
      <c r="N23" s="23">
        <v>45401</v>
      </c>
      <c r="O23" s="53" t="s">
        <v>63</v>
      </c>
      <c r="R23" s="17"/>
      <c r="S23" s="24"/>
    </row>
    <row r="24" spans="1:19" s="27" customFormat="1" ht="24.95" customHeight="1">
      <c r="A24" s="17">
        <v>22</v>
      </c>
      <c r="B24" s="21">
        <v>25</v>
      </c>
      <c r="C24" s="18" t="s">
        <v>84</v>
      </c>
      <c r="D24" s="19">
        <v>504.4</v>
      </c>
      <c r="E24" s="19">
        <v>297.8</v>
      </c>
      <c r="F24" s="20">
        <f>(D24-E24)/E24</f>
        <v>0.69375419744795153</v>
      </c>
      <c r="G24" s="21">
        <v>89</v>
      </c>
      <c r="H24" s="22">
        <v>12</v>
      </c>
      <c r="I24" s="22">
        <f t="shared" si="0"/>
        <v>7.416666666666667</v>
      </c>
      <c r="J24" s="22">
        <v>3</v>
      </c>
      <c r="K24" s="22" t="s">
        <v>15</v>
      </c>
      <c r="L24" s="19">
        <v>11143.25</v>
      </c>
      <c r="M24" s="21">
        <v>1777</v>
      </c>
      <c r="N24" s="23">
        <v>45408</v>
      </c>
      <c r="O24" s="30" t="s">
        <v>82</v>
      </c>
      <c r="R24" s="17"/>
      <c r="S24" s="24"/>
    </row>
    <row r="25" spans="1:19" s="27" customFormat="1" ht="24.75" customHeight="1">
      <c r="A25" s="17">
        <v>23</v>
      </c>
      <c r="B25" s="22" t="s">
        <v>15</v>
      </c>
      <c r="C25" s="18" t="s">
        <v>122</v>
      </c>
      <c r="D25" s="19">
        <v>444</v>
      </c>
      <c r="E25" s="19" t="s">
        <v>15</v>
      </c>
      <c r="F25" s="20" t="s">
        <v>15</v>
      </c>
      <c r="G25" s="21">
        <v>111</v>
      </c>
      <c r="H25" s="22">
        <v>1</v>
      </c>
      <c r="I25" s="22">
        <f t="shared" si="0"/>
        <v>111</v>
      </c>
      <c r="J25" s="22">
        <v>1</v>
      </c>
      <c r="K25" s="22" t="s">
        <v>15</v>
      </c>
      <c r="L25" s="19">
        <v>43174.09</v>
      </c>
      <c r="M25" s="21">
        <v>7655</v>
      </c>
      <c r="N25" s="23">
        <v>45156</v>
      </c>
      <c r="O25" s="30" t="s">
        <v>123</v>
      </c>
      <c r="R25" s="17"/>
      <c r="S25" s="24"/>
    </row>
    <row r="26" spans="1:19" s="27" customFormat="1" ht="24.75" customHeight="1">
      <c r="A26" s="17">
        <v>24</v>
      </c>
      <c r="B26" s="21">
        <v>14</v>
      </c>
      <c r="C26" s="18" t="s">
        <v>37</v>
      </c>
      <c r="D26" s="19">
        <v>430.51</v>
      </c>
      <c r="E26" s="19">
        <v>1895.04</v>
      </c>
      <c r="F26" s="20">
        <f t="shared" ref="F26:F32" si="2">(D26-E26)/E26</f>
        <v>-0.77282273725092876</v>
      </c>
      <c r="G26" s="21">
        <v>99</v>
      </c>
      <c r="H26" s="22">
        <v>10</v>
      </c>
      <c r="I26" s="22">
        <f t="shared" si="0"/>
        <v>9.9</v>
      </c>
      <c r="J26" s="22">
        <v>4</v>
      </c>
      <c r="K26" s="38">
        <v>9</v>
      </c>
      <c r="L26" s="19">
        <v>100193.86</v>
      </c>
      <c r="M26" s="21">
        <v>19198</v>
      </c>
      <c r="N26" s="23">
        <v>45401</v>
      </c>
      <c r="O26" s="30" t="s">
        <v>14</v>
      </c>
    </row>
    <row r="27" spans="1:19" s="27" customFormat="1" ht="24.75" customHeight="1">
      <c r="A27" s="17">
        <v>25</v>
      </c>
      <c r="B27" s="21">
        <v>20</v>
      </c>
      <c r="C27" s="25" t="s">
        <v>73</v>
      </c>
      <c r="D27" s="19">
        <v>427</v>
      </c>
      <c r="E27" s="19">
        <v>493.7</v>
      </c>
      <c r="F27" s="20">
        <f t="shared" si="2"/>
        <v>-0.13510228883937611</v>
      </c>
      <c r="G27" s="21">
        <v>120</v>
      </c>
      <c r="H27" s="17">
        <v>8</v>
      </c>
      <c r="I27" s="22">
        <f t="shared" si="0"/>
        <v>15</v>
      </c>
      <c r="J27" s="22">
        <v>3</v>
      </c>
      <c r="K27" s="22">
        <v>3</v>
      </c>
      <c r="L27" s="19">
        <v>1209.3</v>
      </c>
      <c r="M27" s="21">
        <v>342</v>
      </c>
      <c r="N27" s="23">
        <v>45443</v>
      </c>
      <c r="O27" s="53" t="s">
        <v>68</v>
      </c>
    </row>
    <row r="28" spans="1:19" s="27" customFormat="1" ht="24.75" customHeight="1">
      <c r="A28" s="17">
        <v>26</v>
      </c>
      <c r="B28" s="21">
        <v>19</v>
      </c>
      <c r="C28" s="18" t="s">
        <v>38</v>
      </c>
      <c r="D28" s="28">
        <v>424.2</v>
      </c>
      <c r="E28" s="28">
        <v>562.70000000000005</v>
      </c>
      <c r="F28" s="20">
        <f t="shared" si="2"/>
        <v>-0.24613470765949894</v>
      </c>
      <c r="G28" s="29">
        <v>71</v>
      </c>
      <c r="H28" s="21">
        <v>15</v>
      </c>
      <c r="I28" s="22">
        <f t="shared" si="0"/>
        <v>4.7333333333333334</v>
      </c>
      <c r="J28" s="22">
        <v>6</v>
      </c>
      <c r="K28" s="22">
        <v>3</v>
      </c>
      <c r="L28" s="28">
        <v>4821.91</v>
      </c>
      <c r="M28" s="29">
        <v>823</v>
      </c>
      <c r="N28" s="23">
        <v>45443</v>
      </c>
      <c r="O28" s="30" t="s">
        <v>64</v>
      </c>
    </row>
    <row r="29" spans="1:19" s="27" customFormat="1" ht="24.75" customHeight="1">
      <c r="A29" s="17">
        <v>27</v>
      </c>
      <c r="B29" s="19" t="s">
        <v>15</v>
      </c>
      <c r="C29" s="18" t="s">
        <v>94</v>
      </c>
      <c r="D29" s="19">
        <v>263</v>
      </c>
      <c r="E29" s="19">
        <v>426.4</v>
      </c>
      <c r="F29" s="20">
        <f t="shared" si="2"/>
        <v>-0.38320825515947465</v>
      </c>
      <c r="G29" s="21">
        <v>69</v>
      </c>
      <c r="H29" s="22">
        <v>2</v>
      </c>
      <c r="I29" s="22">
        <f t="shared" si="0"/>
        <v>34.5</v>
      </c>
      <c r="J29" s="22">
        <v>1</v>
      </c>
      <c r="K29" s="22" t="s">
        <v>15</v>
      </c>
      <c r="L29" s="19">
        <v>4943.7099999999991</v>
      </c>
      <c r="M29" s="21">
        <v>1146</v>
      </c>
      <c r="N29" s="23">
        <v>45422</v>
      </c>
      <c r="O29" s="30" t="s">
        <v>95</v>
      </c>
    </row>
    <row r="30" spans="1:19" s="27" customFormat="1" ht="24.75" customHeight="1">
      <c r="A30" s="17">
        <v>28</v>
      </c>
      <c r="B30" s="21">
        <v>40</v>
      </c>
      <c r="C30" s="18" t="s">
        <v>81</v>
      </c>
      <c r="D30" s="19">
        <v>244</v>
      </c>
      <c r="E30" s="19">
        <v>106</v>
      </c>
      <c r="F30" s="20">
        <f t="shared" si="2"/>
        <v>1.3018867924528301</v>
      </c>
      <c r="G30" s="21">
        <v>49</v>
      </c>
      <c r="H30" s="22">
        <v>5</v>
      </c>
      <c r="I30" s="22">
        <f t="shared" si="0"/>
        <v>9.8000000000000007</v>
      </c>
      <c r="J30" s="22">
        <v>3</v>
      </c>
      <c r="K30" s="22" t="s">
        <v>15</v>
      </c>
      <c r="L30" s="19">
        <v>3971.7000000000003</v>
      </c>
      <c r="M30" s="21">
        <v>734</v>
      </c>
      <c r="N30" s="23">
        <v>45415</v>
      </c>
      <c r="O30" s="30" t="s">
        <v>82</v>
      </c>
    </row>
    <row r="31" spans="1:19" s="27" customFormat="1" ht="24.75" customHeight="1">
      <c r="A31" s="17">
        <v>29</v>
      </c>
      <c r="B31" s="21">
        <v>23</v>
      </c>
      <c r="C31" s="18" t="s">
        <v>47</v>
      </c>
      <c r="D31" s="19">
        <v>223.25</v>
      </c>
      <c r="E31" s="19">
        <v>324.48</v>
      </c>
      <c r="F31" s="20">
        <f t="shared" si="2"/>
        <v>-0.31197608481262329</v>
      </c>
      <c r="G31" s="21">
        <v>65</v>
      </c>
      <c r="H31" s="21">
        <v>2</v>
      </c>
      <c r="I31" s="22">
        <f t="shared" si="0"/>
        <v>32.5</v>
      </c>
      <c r="J31" s="22">
        <v>2</v>
      </c>
      <c r="K31" s="22" t="s">
        <v>15</v>
      </c>
      <c r="L31" s="19">
        <v>23638.76</v>
      </c>
      <c r="M31" s="21">
        <v>3868</v>
      </c>
      <c r="N31" s="23">
        <v>45359</v>
      </c>
      <c r="O31" s="30" t="s">
        <v>66</v>
      </c>
    </row>
    <row r="32" spans="1:19" s="27" customFormat="1" ht="24.75" customHeight="1">
      <c r="A32" s="17">
        <v>30</v>
      </c>
      <c r="B32" s="21">
        <v>45</v>
      </c>
      <c r="C32" s="25" t="s">
        <v>51</v>
      </c>
      <c r="D32" s="19">
        <v>214</v>
      </c>
      <c r="E32" s="19">
        <v>79</v>
      </c>
      <c r="F32" s="20">
        <f t="shared" si="2"/>
        <v>1.7088607594936709</v>
      </c>
      <c r="G32" s="21">
        <v>38</v>
      </c>
      <c r="H32" s="22">
        <v>2</v>
      </c>
      <c r="I32" s="22">
        <f t="shared" si="0"/>
        <v>19</v>
      </c>
      <c r="J32" s="22">
        <v>1</v>
      </c>
      <c r="K32" s="22">
        <v>10</v>
      </c>
      <c r="L32" s="19">
        <v>76840.69</v>
      </c>
      <c r="M32" s="21">
        <v>11349</v>
      </c>
      <c r="N32" s="23">
        <v>45394</v>
      </c>
      <c r="O32" s="30" t="s">
        <v>63</v>
      </c>
    </row>
    <row r="33" spans="1:15" ht="24.95" customHeight="1">
      <c r="A33" s="17">
        <v>31</v>
      </c>
      <c r="B33" s="22" t="s">
        <v>15</v>
      </c>
      <c r="C33" s="18" t="s">
        <v>121</v>
      </c>
      <c r="D33" s="19">
        <v>213.5</v>
      </c>
      <c r="E33" s="19" t="s">
        <v>15</v>
      </c>
      <c r="F33" s="20" t="s">
        <v>15</v>
      </c>
      <c r="G33" s="21">
        <v>68</v>
      </c>
      <c r="H33" s="22">
        <v>2</v>
      </c>
      <c r="I33" s="22">
        <f t="shared" si="0"/>
        <v>34</v>
      </c>
      <c r="J33" s="22">
        <v>1</v>
      </c>
      <c r="K33" s="22" t="s">
        <v>15</v>
      </c>
      <c r="L33" s="19">
        <v>65772.23</v>
      </c>
      <c r="M33" s="21">
        <v>12960</v>
      </c>
      <c r="N33" s="23">
        <v>45373</v>
      </c>
      <c r="O33" s="30" t="s">
        <v>66</v>
      </c>
    </row>
    <row r="34" spans="1:15" s="27" customFormat="1" ht="24.95" customHeight="1">
      <c r="A34" s="17">
        <v>32</v>
      </c>
      <c r="B34" s="21">
        <v>39</v>
      </c>
      <c r="C34" s="25" t="s">
        <v>46</v>
      </c>
      <c r="D34" s="19">
        <v>209.1</v>
      </c>
      <c r="E34" s="19">
        <v>122.3</v>
      </c>
      <c r="F34" s="20">
        <f>(D34-E34)/E34</f>
        <v>0.70973017170891251</v>
      </c>
      <c r="G34" s="21">
        <v>36</v>
      </c>
      <c r="H34" s="22">
        <v>3</v>
      </c>
      <c r="I34" s="22">
        <f t="shared" si="0"/>
        <v>12</v>
      </c>
      <c r="J34" s="17">
        <v>3</v>
      </c>
      <c r="K34" s="22">
        <v>13</v>
      </c>
      <c r="L34" s="19">
        <v>66306.39</v>
      </c>
      <c r="M34" s="21">
        <v>10182</v>
      </c>
      <c r="N34" s="23">
        <v>45379</v>
      </c>
      <c r="O34" s="30" t="s">
        <v>25</v>
      </c>
    </row>
    <row r="35" spans="1:15" s="27" customFormat="1" ht="24.95" customHeight="1">
      <c r="A35" s="17">
        <v>33</v>
      </c>
      <c r="B35" s="22" t="s">
        <v>15</v>
      </c>
      <c r="C35" s="25" t="s">
        <v>125</v>
      </c>
      <c r="D35" s="19">
        <v>206.4</v>
      </c>
      <c r="E35" s="19" t="s">
        <v>15</v>
      </c>
      <c r="F35" s="20" t="s">
        <v>15</v>
      </c>
      <c r="G35" s="21">
        <v>29</v>
      </c>
      <c r="H35" s="17">
        <v>2</v>
      </c>
      <c r="I35" s="22">
        <f t="shared" si="0"/>
        <v>14.5</v>
      </c>
      <c r="J35" s="17">
        <v>2</v>
      </c>
      <c r="K35" s="22" t="s">
        <v>15</v>
      </c>
      <c r="L35" s="19">
        <v>209394.3</v>
      </c>
      <c r="M35" s="21">
        <v>32362</v>
      </c>
      <c r="N35" s="23">
        <v>45191</v>
      </c>
      <c r="O35" s="53" t="s">
        <v>25</v>
      </c>
    </row>
    <row r="36" spans="1:15" s="27" customFormat="1" ht="24.95" customHeight="1">
      <c r="A36" s="17">
        <v>34</v>
      </c>
      <c r="B36" s="21">
        <v>38</v>
      </c>
      <c r="C36" s="25" t="s">
        <v>44</v>
      </c>
      <c r="D36" s="19">
        <v>189.6</v>
      </c>
      <c r="E36" s="19">
        <v>136.4</v>
      </c>
      <c r="F36" s="20">
        <f>(D36-E36)/E36</f>
        <v>0.39002932551319636</v>
      </c>
      <c r="G36" s="21">
        <v>34</v>
      </c>
      <c r="H36" s="22">
        <v>2</v>
      </c>
      <c r="I36" s="22">
        <f t="shared" si="0"/>
        <v>17</v>
      </c>
      <c r="J36" s="22">
        <v>2</v>
      </c>
      <c r="K36" s="22">
        <v>13</v>
      </c>
      <c r="L36" s="19">
        <v>57990.5</v>
      </c>
      <c r="M36" s="21">
        <v>9134</v>
      </c>
      <c r="N36" s="23">
        <v>45379</v>
      </c>
      <c r="O36" s="35" t="s">
        <v>25</v>
      </c>
    </row>
    <row r="37" spans="1:15" s="27" customFormat="1" ht="24.95" customHeight="1">
      <c r="A37" s="17">
        <v>35</v>
      </c>
      <c r="B37" s="21">
        <v>34</v>
      </c>
      <c r="C37" s="18" t="s">
        <v>104</v>
      </c>
      <c r="D37" s="19">
        <v>175.5</v>
      </c>
      <c r="E37" s="19">
        <v>167.3</v>
      </c>
      <c r="F37" s="20">
        <f>(D37-E37)/E37</f>
        <v>4.9013747758517565E-2</v>
      </c>
      <c r="G37" s="21">
        <v>94</v>
      </c>
      <c r="H37" s="21">
        <v>1</v>
      </c>
      <c r="I37" s="22">
        <f t="shared" si="0"/>
        <v>94</v>
      </c>
      <c r="J37" s="22">
        <v>1</v>
      </c>
      <c r="K37" s="22" t="s">
        <v>15</v>
      </c>
      <c r="L37" s="19">
        <v>136836.41</v>
      </c>
      <c r="M37" s="21">
        <v>26170</v>
      </c>
      <c r="N37" s="23">
        <v>45331</v>
      </c>
      <c r="O37" s="30" t="s">
        <v>11</v>
      </c>
    </row>
    <row r="38" spans="1:15" s="27" customFormat="1" ht="24.95" customHeight="1">
      <c r="A38" s="17">
        <v>36</v>
      </c>
      <c r="B38" s="21">
        <v>29</v>
      </c>
      <c r="C38" s="18" t="s">
        <v>48</v>
      </c>
      <c r="D38" s="19">
        <v>126.61</v>
      </c>
      <c r="E38" s="19">
        <v>233</v>
      </c>
      <c r="F38" s="20">
        <f>(D38-E38)/E38</f>
        <v>-0.45660944206008586</v>
      </c>
      <c r="G38" s="21">
        <v>38</v>
      </c>
      <c r="H38" s="22">
        <v>1</v>
      </c>
      <c r="I38" s="22">
        <f t="shared" si="0"/>
        <v>38</v>
      </c>
      <c r="J38" s="22">
        <v>1</v>
      </c>
      <c r="K38" s="22" t="s">
        <v>15</v>
      </c>
      <c r="L38" s="19">
        <v>191670.57</v>
      </c>
      <c r="M38" s="21">
        <v>47866</v>
      </c>
      <c r="N38" s="23">
        <v>44659</v>
      </c>
      <c r="O38" s="30" t="s">
        <v>11</v>
      </c>
    </row>
    <row r="39" spans="1:15" s="27" customFormat="1" ht="24.95" customHeight="1">
      <c r="A39" s="17">
        <v>37</v>
      </c>
      <c r="B39" s="22" t="s">
        <v>15</v>
      </c>
      <c r="C39" s="7" t="s">
        <v>39</v>
      </c>
      <c r="D39" s="8">
        <v>104</v>
      </c>
      <c r="E39" s="19" t="s">
        <v>15</v>
      </c>
      <c r="F39" s="20" t="s">
        <v>15</v>
      </c>
      <c r="G39" s="10">
        <v>26</v>
      </c>
      <c r="H39" s="11">
        <v>1</v>
      </c>
      <c r="I39" s="22">
        <f t="shared" si="0"/>
        <v>26</v>
      </c>
      <c r="J39" s="6">
        <v>1</v>
      </c>
      <c r="K39" s="22" t="s">
        <v>15</v>
      </c>
      <c r="L39" s="8">
        <v>6541.41</v>
      </c>
      <c r="M39" s="10">
        <v>1515</v>
      </c>
      <c r="N39" s="12">
        <v>45380</v>
      </c>
      <c r="O39" s="31" t="s">
        <v>14</v>
      </c>
    </row>
    <row r="40" spans="1:15" s="27" customFormat="1" ht="24.95" customHeight="1">
      <c r="A40" s="17">
        <v>38</v>
      </c>
      <c r="B40" s="21">
        <v>35</v>
      </c>
      <c r="C40" s="18" t="s">
        <v>40</v>
      </c>
      <c r="D40" s="19">
        <v>90.6</v>
      </c>
      <c r="E40" s="19">
        <v>165.4</v>
      </c>
      <c r="F40" s="20">
        <f>(D40-E40)/E40</f>
        <v>-0.45223700120918991</v>
      </c>
      <c r="G40" s="21">
        <v>16</v>
      </c>
      <c r="H40" s="22">
        <v>4</v>
      </c>
      <c r="I40" s="22">
        <f t="shared" si="0"/>
        <v>4</v>
      </c>
      <c r="J40" s="22">
        <v>2</v>
      </c>
      <c r="K40" s="22">
        <v>5</v>
      </c>
      <c r="L40" s="19">
        <v>6409.26</v>
      </c>
      <c r="M40" s="21">
        <v>1143</v>
      </c>
      <c r="N40" s="23">
        <v>45429</v>
      </c>
      <c r="O40" s="30" t="s">
        <v>25</v>
      </c>
    </row>
    <row r="41" spans="1:15" s="27" customFormat="1" ht="24.95" customHeight="1">
      <c r="A41" s="17">
        <v>39</v>
      </c>
      <c r="B41" s="21">
        <v>26</v>
      </c>
      <c r="C41" s="18" t="s">
        <v>87</v>
      </c>
      <c r="D41" s="19">
        <v>64.17</v>
      </c>
      <c r="E41" s="19">
        <v>289.49</v>
      </c>
      <c r="F41" s="20">
        <f>(D41-E41)/E41</f>
        <v>-0.77833431206604708</v>
      </c>
      <c r="G41" s="21">
        <v>20</v>
      </c>
      <c r="H41" s="22">
        <v>1</v>
      </c>
      <c r="I41" s="22">
        <f t="shared" si="0"/>
        <v>20</v>
      </c>
      <c r="J41" s="22">
        <v>1</v>
      </c>
      <c r="K41" s="22" t="s">
        <v>15</v>
      </c>
      <c r="L41" s="19">
        <v>237055.31</v>
      </c>
      <c r="M41" s="21">
        <v>51437</v>
      </c>
      <c r="N41" s="23">
        <v>44400</v>
      </c>
      <c r="O41" s="30" t="s">
        <v>18</v>
      </c>
    </row>
    <row r="42" spans="1:15" s="27" customFormat="1" ht="24.95" customHeight="1">
      <c r="A42" s="17">
        <v>40</v>
      </c>
      <c r="B42" s="22" t="s">
        <v>15</v>
      </c>
      <c r="C42" s="18" t="s">
        <v>119</v>
      </c>
      <c r="D42" s="19">
        <v>42</v>
      </c>
      <c r="E42" s="19" t="s">
        <v>15</v>
      </c>
      <c r="F42" s="20" t="s">
        <v>15</v>
      </c>
      <c r="G42" s="21">
        <v>12</v>
      </c>
      <c r="H42" s="22">
        <v>1</v>
      </c>
      <c r="I42" s="22">
        <f t="shared" si="0"/>
        <v>12</v>
      </c>
      <c r="J42" s="22">
        <v>1</v>
      </c>
      <c r="K42" s="22" t="s">
        <v>15</v>
      </c>
      <c r="L42" s="19">
        <v>13329.310000000001</v>
      </c>
      <c r="M42" s="21">
        <v>2148</v>
      </c>
      <c r="N42" s="23">
        <v>45359</v>
      </c>
      <c r="O42" s="30" t="s">
        <v>14</v>
      </c>
    </row>
    <row r="43" spans="1:15" s="27" customFormat="1" ht="24.95" customHeight="1">
      <c r="A43" s="17">
        <v>41</v>
      </c>
      <c r="B43" s="21" t="s">
        <v>23</v>
      </c>
      <c r="C43" s="18" t="s">
        <v>120</v>
      </c>
      <c r="D43" s="19">
        <v>22.8</v>
      </c>
      <c r="E43" s="19" t="s">
        <v>15</v>
      </c>
      <c r="F43" s="20" t="s">
        <v>15</v>
      </c>
      <c r="G43" s="21">
        <v>3</v>
      </c>
      <c r="H43" s="22">
        <v>1</v>
      </c>
      <c r="I43" s="22">
        <f t="shared" si="0"/>
        <v>3</v>
      </c>
      <c r="J43" s="22">
        <v>1</v>
      </c>
      <c r="K43" s="22">
        <v>1</v>
      </c>
      <c r="L43" s="19">
        <v>22.8</v>
      </c>
      <c r="M43" s="21">
        <v>3</v>
      </c>
      <c r="N43" s="23" t="s">
        <v>24</v>
      </c>
      <c r="O43" s="30" t="s">
        <v>14</v>
      </c>
    </row>
    <row r="44" spans="1:15" s="27" customFormat="1" ht="24.95" customHeight="1">
      <c r="A44" s="17">
        <v>42</v>
      </c>
      <c r="B44" s="21">
        <v>44</v>
      </c>
      <c r="C44" s="18" t="s">
        <v>50</v>
      </c>
      <c r="D44" s="19">
        <v>12</v>
      </c>
      <c r="E44" s="19">
        <v>85</v>
      </c>
      <c r="F44" s="20">
        <f>(D44-E44)/E44</f>
        <v>-0.85882352941176465</v>
      </c>
      <c r="G44" s="21">
        <v>3</v>
      </c>
      <c r="H44" s="22">
        <v>1</v>
      </c>
      <c r="I44" s="22">
        <f t="shared" si="0"/>
        <v>3</v>
      </c>
      <c r="J44" s="22">
        <v>1</v>
      </c>
      <c r="K44" s="22">
        <v>8</v>
      </c>
      <c r="L44" s="19">
        <v>30607.53</v>
      </c>
      <c r="M44" s="21">
        <v>5942</v>
      </c>
      <c r="N44" s="23">
        <v>45408</v>
      </c>
      <c r="O44" s="30" t="s">
        <v>11</v>
      </c>
    </row>
    <row r="45" spans="1:15" s="44" customFormat="1" ht="24.95" customHeight="1">
      <c r="A45" s="46" t="s">
        <v>26</v>
      </c>
      <c r="B45" s="57" t="s">
        <v>26</v>
      </c>
      <c r="C45" s="48" t="s">
        <v>127</v>
      </c>
      <c r="D45" s="49">
        <f>SUBTOTAL(109,Table13245[Pajamos 
(GBO)])</f>
        <v>559681.88000000012</v>
      </c>
      <c r="E45" s="49" t="s">
        <v>126</v>
      </c>
      <c r="F45" s="50">
        <f t="shared" ref="F45" si="3">(D45-E45)/E45</f>
        <v>0.58527204284933376</v>
      </c>
      <c r="G45" s="52">
        <f>SUBTOTAL(109,Table13245[Žiūrovų sk. 
(ADM)])</f>
        <v>91056</v>
      </c>
      <c r="H45" s="46"/>
      <c r="I45" s="46"/>
      <c r="J45" s="46"/>
      <c r="K45" s="46"/>
      <c r="L45" s="54"/>
      <c r="M45" s="46"/>
      <c r="N45" s="46"/>
      <c r="O45" s="46" t="s">
        <v>26</v>
      </c>
    </row>
    <row r="46" spans="1:15" ht="11.25" hidden="1">
      <c r="F46" s="3"/>
      <c r="L46" s="2"/>
    </row>
    <row r="47" spans="1:15" ht="11.25" hidden="1">
      <c r="F47" s="3"/>
      <c r="L47" s="2"/>
    </row>
    <row r="48" spans="1:15" ht="11.25" hidden="1">
      <c r="F48" s="3"/>
      <c r="L48" s="2"/>
    </row>
    <row r="49" spans="6:12" ht="11.25" hidden="1">
      <c r="F49" s="3"/>
      <c r="L49" s="2"/>
    </row>
    <row r="50" spans="6:12" ht="11.25" hidden="1">
      <c r="F50" s="3"/>
      <c r="L50" s="2"/>
    </row>
    <row r="51" spans="6:12" ht="11.25" hidden="1">
      <c r="F51" s="3"/>
      <c r="L51" s="2"/>
    </row>
    <row r="52" spans="6:12" ht="11.25" hidden="1">
      <c r="F52" s="3"/>
      <c r="L52" s="2"/>
    </row>
    <row r="53" spans="6:12" ht="11.25" hidden="1">
      <c r="F53" s="3"/>
      <c r="L53" s="2"/>
    </row>
    <row r="54" spans="6:12" ht="11.25" hidden="1">
      <c r="F54" s="3"/>
      <c r="L54" s="2"/>
    </row>
    <row r="55" spans="6:12" ht="11.25" hidden="1">
      <c r="F55" s="3"/>
      <c r="L55" s="2"/>
    </row>
    <row r="56" spans="6:12" ht="11.25" hidden="1">
      <c r="F56" s="3"/>
      <c r="L56" s="2"/>
    </row>
    <row r="57" spans="6:12" ht="11.25" hidden="1">
      <c r="F57" s="3"/>
      <c r="L57" s="2"/>
    </row>
    <row r="58" spans="6:12" ht="11.25" hidden="1">
      <c r="F58" s="3"/>
      <c r="L58" s="2"/>
    </row>
    <row r="59" spans="6:12" ht="11.25" hidden="1">
      <c r="F59" s="3"/>
    </row>
    <row r="60" spans="6:12" ht="11.25" hidden="1">
      <c r="F60" s="3"/>
    </row>
    <row r="61" spans="6:12" ht="11.25" hidden="1">
      <c r="F61" s="3"/>
    </row>
    <row r="62" spans="6:12" ht="11.25" hidden="1">
      <c r="F62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35D1D-FE23-4A49-9E28-3B091B8D4314}">
  <sheetPr codeName="Sheet3">
    <pageSetUpPr fitToPage="1"/>
  </sheetPr>
  <dimension ref="A1:XFC67"/>
  <sheetViews>
    <sheetView topLeftCell="A31" zoomScale="60" zoomScaleNormal="60" workbookViewId="0">
      <selection activeCell="C44" sqref="C44:XFD44"/>
    </sheetView>
  </sheetViews>
  <sheetFormatPr defaultColWidth="0" defaultRowHeight="0" customHeight="1" zeroHeight="1"/>
  <cols>
    <col min="1" max="2" width="4.7109375" style="1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3" t="s">
        <v>92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15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17">
        <v>1</v>
      </c>
      <c r="C3" s="18" t="s">
        <v>27</v>
      </c>
      <c r="D3" s="19">
        <v>140997.94</v>
      </c>
      <c r="E3" s="19">
        <v>128376.61</v>
      </c>
      <c r="F3" s="20">
        <f>(D3-E3)/E3</f>
        <v>9.8314872156228472E-2</v>
      </c>
      <c r="G3" s="21">
        <v>26944</v>
      </c>
      <c r="H3" s="17">
        <v>539</v>
      </c>
      <c r="I3" s="22">
        <f>G3/H3</f>
        <v>49.988868274582558</v>
      </c>
      <c r="J3" s="22">
        <v>18</v>
      </c>
      <c r="K3" s="22">
        <v>3</v>
      </c>
      <c r="L3" s="19">
        <v>395321.17</v>
      </c>
      <c r="M3" s="21">
        <v>73009</v>
      </c>
      <c r="N3" s="23">
        <v>45436</v>
      </c>
      <c r="O3" s="30" t="s">
        <v>61</v>
      </c>
    </row>
    <row r="4" spans="1:18" s="24" customFormat="1" ht="24.95" customHeight="1">
      <c r="A4" s="6">
        <v>2</v>
      </c>
      <c r="B4" s="22" t="s">
        <v>17</v>
      </c>
      <c r="C4" s="18" t="s">
        <v>78</v>
      </c>
      <c r="D4" s="19">
        <v>80632.58</v>
      </c>
      <c r="E4" s="19" t="s">
        <v>15</v>
      </c>
      <c r="F4" s="20" t="s">
        <v>15</v>
      </c>
      <c r="G4" s="21">
        <v>10429</v>
      </c>
      <c r="H4" s="22">
        <v>329</v>
      </c>
      <c r="I4" s="22">
        <v>38.42176870748299</v>
      </c>
      <c r="J4" s="22">
        <v>16</v>
      </c>
      <c r="K4" s="22">
        <v>1</v>
      </c>
      <c r="L4" s="19">
        <v>86041.77</v>
      </c>
      <c r="M4" s="21">
        <v>11087</v>
      </c>
      <c r="N4" s="23">
        <v>45450</v>
      </c>
      <c r="O4" s="30" t="s">
        <v>61</v>
      </c>
    </row>
    <row r="5" spans="1:18" s="24" customFormat="1" ht="24.95" customHeight="1">
      <c r="A5" s="17">
        <v>3</v>
      </c>
      <c r="B5" s="22" t="s">
        <v>17</v>
      </c>
      <c r="C5" s="18" t="s">
        <v>79</v>
      </c>
      <c r="D5" s="19">
        <v>24125.38</v>
      </c>
      <c r="E5" s="19" t="s">
        <v>15</v>
      </c>
      <c r="F5" s="20" t="s">
        <v>15</v>
      </c>
      <c r="G5" s="21">
        <v>3742</v>
      </c>
      <c r="H5" s="22">
        <v>216</v>
      </c>
      <c r="I5" s="22">
        <v>20.845360824742269</v>
      </c>
      <c r="J5" s="22">
        <v>14</v>
      </c>
      <c r="K5" s="22">
        <v>1</v>
      </c>
      <c r="L5" s="19">
        <v>25760.240000000002</v>
      </c>
      <c r="M5" s="21">
        <v>3977</v>
      </c>
      <c r="N5" s="23">
        <v>45450</v>
      </c>
      <c r="O5" s="30" t="s">
        <v>12</v>
      </c>
      <c r="R5" s="17"/>
    </row>
    <row r="6" spans="1:18" s="24" customFormat="1" ht="24.95" customHeight="1">
      <c r="A6" s="6">
        <v>4</v>
      </c>
      <c r="B6" s="17">
        <v>3</v>
      </c>
      <c r="C6" s="25" t="s">
        <v>113</v>
      </c>
      <c r="D6" s="28">
        <v>20170.259999999998</v>
      </c>
      <c r="E6" s="28">
        <v>12777.72</v>
      </c>
      <c r="F6" s="20">
        <f>(D6-E6)/E6</f>
        <v>0.57854922474432058</v>
      </c>
      <c r="G6" s="29">
        <v>4061</v>
      </c>
      <c r="H6" s="21">
        <v>160</v>
      </c>
      <c r="I6" s="22">
        <f t="shared" ref="I6:I13" si="0">G6/H6</f>
        <v>25.381250000000001</v>
      </c>
      <c r="J6" s="22">
        <v>14</v>
      </c>
      <c r="K6" s="22">
        <v>4</v>
      </c>
      <c r="L6" s="28">
        <v>90215.01</v>
      </c>
      <c r="M6" s="29">
        <v>17735</v>
      </c>
      <c r="N6" s="23">
        <v>45429</v>
      </c>
      <c r="O6" s="30" t="s">
        <v>62</v>
      </c>
      <c r="R6" s="17"/>
    </row>
    <row r="7" spans="1:18" s="24" customFormat="1" ht="24.95" customHeight="1">
      <c r="A7" s="17">
        <v>5</v>
      </c>
      <c r="B7" s="17">
        <v>2</v>
      </c>
      <c r="C7" s="18" t="s">
        <v>28</v>
      </c>
      <c r="D7" s="19">
        <v>19028.46</v>
      </c>
      <c r="E7" s="19">
        <v>30227.66</v>
      </c>
      <c r="F7" s="20">
        <f>(D7-E7)/E7</f>
        <v>-0.37049510282966003</v>
      </c>
      <c r="G7" s="21">
        <v>2778</v>
      </c>
      <c r="H7" s="22">
        <v>217</v>
      </c>
      <c r="I7" s="22">
        <f t="shared" si="0"/>
        <v>12.801843317972351</v>
      </c>
      <c r="J7" s="22">
        <v>15</v>
      </c>
      <c r="K7" s="22">
        <v>3</v>
      </c>
      <c r="L7" s="19">
        <v>93606.38</v>
      </c>
      <c r="M7" s="21">
        <v>12581</v>
      </c>
      <c r="N7" s="23">
        <v>45436</v>
      </c>
      <c r="O7" s="30" t="s">
        <v>12</v>
      </c>
      <c r="R7" s="17"/>
    </row>
    <row r="8" spans="1:18" s="24" customFormat="1" ht="24.95" customHeight="1">
      <c r="A8" s="6">
        <v>6</v>
      </c>
      <c r="B8" s="19" t="s">
        <v>23</v>
      </c>
      <c r="C8" s="25" t="s">
        <v>106</v>
      </c>
      <c r="D8" s="19">
        <v>16346.54</v>
      </c>
      <c r="E8" s="19" t="s">
        <v>15</v>
      </c>
      <c r="F8" s="20" t="s">
        <v>15</v>
      </c>
      <c r="G8" s="21">
        <v>2925</v>
      </c>
      <c r="H8" s="17">
        <v>15</v>
      </c>
      <c r="I8" s="22">
        <f t="shared" si="0"/>
        <v>195</v>
      </c>
      <c r="J8" s="22">
        <v>10</v>
      </c>
      <c r="K8" s="22">
        <v>0</v>
      </c>
      <c r="L8" s="19">
        <v>16346.54</v>
      </c>
      <c r="M8" s="21">
        <v>2925</v>
      </c>
      <c r="N8" s="23" t="s">
        <v>24</v>
      </c>
      <c r="O8" s="30" t="s">
        <v>18</v>
      </c>
      <c r="R8" s="17"/>
    </row>
    <row r="9" spans="1:18" s="24" customFormat="1" ht="24.95" customHeight="1">
      <c r="A9" s="17">
        <v>7</v>
      </c>
      <c r="B9" s="17">
        <v>5</v>
      </c>
      <c r="C9" s="25" t="s">
        <v>30</v>
      </c>
      <c r="D9" s="28">
        <v>9875.94</v>
      </c>
      <c r="E9" s="28">
        <v>10472.950000000001</v>
      </c>
      <c r="F9" s="20">
        <f>(D9-E9)/E9</f>
        <v>-5.7004950849569622E-2</v>
      </c>
      <c r="G9" s="29">
        <v>1484</v>
      </c>
      <c r="H9" s="21">
        <v>90</v>
      </c>
      <c r="I9" s="22">
        <f t="shared" si="0"/>
        <v>16.488888888888887</v>
      </c>
      <c r="J9" s="22">
        <v>8</v>
      </c>
      <c r="K9" s="22">
        <v>5</v>
      </c>
      <c r="L9" s="28">
        <v>108555.73</v>
      </c>
      <c r="M9" s="29">
        <v>15522</v>
      </c>
      <c r="N9" s="23">
        <v>45422</v>
      </c>
      <c r="O9" s="53" t="s">
        <v>18</v>
      </c>
      <c r="R9" s="17"/>
    </row>
    <row r="10" spans="1:18" s="24" customFormat="1" ht="24.95" customHeight="1">
      <c r="A10" s="6">
        <v>8</v>
      </c>
      <c r="B10" s="17">
        <v>4</v>
      </c>
      <c r="C10" s="18" t="s">
        <v>31</v>
      </c>
      <c r="D10" s="19">
        <v>7734.77</v>
      </c>
      <c r="E10" s="19">
        <v>10643.43</v>
      </c>
      <c r="F10" s="20">
        <f>(D10-E10)/E10</f>
        <v>-0.27328220319953245</v>
      </c>
      <c r="G10" s="21">
        <v>1106</v>
      </c>
      <c r="H10" s="22">
        <v>55</v>
      </c>
      <c r="I10" s="22">
        <f t="shared" si="0"/>
        <v>20.109090909090909</v>
      </c>
      <c r="J10" s="22">
        <v>7</v>
      </c>
      <c r="K10" s="22">
        <v>5</v>
      </c>
      <c r="L10" s="19">
        <v>85127.3</v>
      </c>
      <c r="M10" s="21">
        <v>12383</v>
      </c>
      <c r="N10" s="23">
        <v>45422</v>
      </c>
      <c r="O10" s="30" t="s">
        <v>61</v>
      </c>
      <c r="R10" s="17"/>
    </row>
    <row r="11" spans="1:18" s="24" customFormat="1" ht="24.75" customHeight="1">
      <c r="A11" s="17">
        <v>9</v>
      </c>
      <c r="B11" s="17">
        <v>6</v>
      </c>
      <c r="C11" s="25" t="s">
        <v>41</v>
      </c>
      <c r="D11" s="28">
        <v>6721.69</v>
      </c>
      <c r="E11" s="28">
        <v>10284.31</v>
      </c>
      <c r="F11" s="20">
        <f>(D11-E11)/E11</f>
        <v>-0.34641312834793975</v>
      </c>
      <c r="G11" s="29">
        <v>2689</v>
      </c>
      <c r="H11" s="21">
        <v>135</v>
      </c>
      <c r="I11" s="22">
        <f t="shared" si="0"/>
        <v>19.918518518518518</v>
      </c>
      <c r="J11" s="22">
        <v>8</v>
      </c>
      <c r="K11" s="22">
        <v>2</v>
      </c>
      <c r="L11" s="28">
        <v>17748.43</v>
      </c>
      <c r="M11" s="29">
        <v>2689</v>
      </c>
      <c r="N11" s="23">
        <v>45443</v>
      </c>
      <c r="O11" s="53" t="s">
        <v>19</v>
      </c>
      <c r="R11" s="17"/>
    </row>
    <row r="12" spans="1:18" s="24" customFormat="1" ht="24.95" customHeight="1">
      <c r="A12" s="6">
        <v>10</v>
      </c>
      <c r="B12" s="17">
        <v>11</v>
      </c>
      <c r="C12" s="18" t="s">
        <v>35</v>
      </c>
      <c r="D12" s="19">
        <v>4730.8500000000004</v>
      </c>
      <c r="E12" s="19">
        <v>3956.89</v>
      </c>
      <c r="F12" s="20">
        <f>(D12-E12)/E12</f>
        <v>0.19559805807085881</v>
      </c>
      <c r="G12" s="21">
        <v>933</v>
      </c>
      <c r="H12" s="22">
        <v>64</v>
      </c>
      <c r="I12" s="22">
        <f t="shared" si="0"/>
        <v>14.578125</v>
      </c>
      <c r="J12" s="22">
        <v>8</v>
      </c>
      <c r="K12" s="22">
        <v>14</v>
      </c>
      <c r="L12" s="19">
        <v>869021.72</v>
      </c>
      <c r="M12" s="21">
        <v>150611</v>
      </c>
      <c r="N12" s="23">
        <v>45359</v>
      </c>
      <c r="O12" s="30" t="s">
        <v>63</v>
      </c>
      <c r="R12" s="17"/>
    </row>
    <row r="13" spans="1:18" s="24" customFormat="1" ht="24.95" customHeight="1">
      <c r="A13" s="17">
        <v>11</v>
      </c>
      <c r="B13" s="17">
        <v>7</v>
      </c>
      <c r="C13" s="18" t="s">
        <v>29</v>
      </c>
      <c r="D13" s="19">
        <v>3952.41</v>
      </c>
      <c r="E13" s="19">
        <v>6057.06</v>
      </c>
      <c r="F13" s="20">
        <f>(D13-E13)/E13</f>
        <v>-0.34747055502174329</v>
      </c>
      <c r="G13" s="21">
        <v>621</v>
      </c>
      <c r="H13" s="22">
        <v>46</v>
      </c>
      <c r="I13" s="22">
        <f t="shared" si="0"/>
        <v>13.5</v>
      </c>
      <c r="J13" s="22">
        <v>7</v>
      </c>
      <c r="K13" s="22">
        <v>3</v>
      </c>
      <c r="L13" s="19">
        <v>22380.95</v>
      </c>
      <c r="M13" s="21">
        <v>3368</v>
      </c>
      <c r="N13" s="23">
        <v>45436</v>
      </c>
      <c r="O13" s="30" t="s">
        <v>11</v>
      </c>
      <c r="R13" s="17"/>
    </row>
    <row r="14" spans="1:18" s="24" customFormat="1" ht="24.95" customHeight="1">
      <c r="A14" s="6">
        <v>12</v>
      </c>
      <c r="B14" s="22" t="s">
        <v>17</v>
      </c>
      <c r="C14" s="18" t="s">
        <v>34</v>
      </c>
      <c r="D14" s="19">
        <v>3553.99</v>
      </c>
      <c r="E14" s="19" t="s">
        <v>15</v>
      </c>
      <c r="F14" s="20" t="s">
        <v>15</v>
      </c>
      <c r="G14" s="21">
        <v>573</v>
      </c>
      <c r="H14" s="22">
        <v>56</v>
      </c>
      <c r="I14" s="22">
        <v>11.433333333333334</v>
      </c>
      <c r="J14" s="22">
        <v>12</v>
      </c>
      <c r="K14" s="22">
        <v>1</v>
      </c>
      <c r="L14" s="19">
        <v>7525.9900000000007</v>
      </c>
      <c r="M14" s="21">
        <v>1052</v>
      </c>
      <c r="N14" s="23">
        <v>45450</v>
      </c>
      <c r="O14" s="30" t="s">
        <v>14</v>
      </c>
      <c r="R14" s="17"/>
    </row>
    <row r="15" spans="1:18" s="24" customFormat="1" ht="24.95" customHeight="1">
      <c r="A15" s="17">
        <v>13</v>
      </c>
      <c r="B15" s="17">
        <v>10</v>
      </c>
      <c r="C15" s="18" t="s">
        <v>33</v>
      </c>
      <c r="D15" s="19">
        <v>2683.51</v>
      </c>
      <c r="E15" s="19">
        <v>4150.75</v>
      </c>
      <c r="F15" s="20">
        <f>(D15-E15)/E15</f>
        <v>-0.35348792386918021</v>
      </c>
      <c r="G15" s="21">
        <v>422</v>
      </c>
      <c r="H15" s="22">
        <v>34</v>
      </c>
      <c r="I15" s="22">
        <f>G15/H15</f>
        <v>12.411764705882353</v>
      </c>
      <c r="J15" s="22">
        <v>5</v>
      </c>
      <c r="K15" s="22">
        <v>6</v>
      </c>
      <c r="L15" s="19">
        <v>88485.21</v>
      </c>
      <c r="M15" s="21">
        <v>13039</v>
      </c>
      <c r="N15" s="23">
        <v>45415</v>
      </c>
      <c r="O15" s="30" t="s">
        <v>12</v>
      </c>
      <c r="R15" s="17"/>
    </row>
    <row r="16" spans="1:18" s="24" customFormat="1" ht="24.95" customHeight="1">
      <c r="A16" s="6">
        <v>14</v>
      </c>
      <c r="B16" s="17">
        <v>15</v>
      </c>
      <c r="C16" s="18" t="s">
        <v>37</v>
      </c>
      <c r="D16" s="19">
        <v>1895.04</v>
      </c>
      <c r="E16" s="19">
        <v>1663.71</v>
      </c>
      <c r="F16" s="20">
        <f>(D16-E16)/E16</f>
        <v>0.13904466523612885</v>
      </c>
      <c r="G16" s="21">
        <v>415</v>
      </c>
      <c r="H16" s="22">
        <v>19</v>
      </c>
      <c r="I16" s="22">
        <f>G16/H16</f>
        <v>21.842105263157894</v>
      </c>
      <c r="J16" s="22">
        <v>5</v>
      </c>
      <c r="K16" s="38">
        <v>8</v>
      </c>
      <c r="L16" s="19">
        <v>99763.35</v>
      </c>
      <c r="M16" s="21">
        <v>19099</v>
      </c>
      <c r="N16" s="23">
        <v>45401</v>
      </c>
      <c r="O16" s="30" t="s">
        <v>14</v>
      </c>
      <c r="R16" s="17"/>
    </row>
    <row r="17" spans="1:19" s="24" customFormat="1" ht="24.95" customHeight="1">
      <c r="A17" s="17">
        <v>15</v>
      </c>
      <c r="B17" s="22" t="s">
        <v>17</v>
      </c>
      <c r="C17" s="18" t="s">
        <v>93</v>
      </c>
      <c r="D17" s="19">
        <v>1602.89</v>
      </c>
      <c r="E17" s="19" t="s">
        <v>15</v>
      </c>
      <c r="F17" s="20" t="s">
        <v>15</v>
      </c>
      <c r="G17" s="21">
        <v>264</v>
      </c>
      <c r="H17" s="22">
        <v>27</v>
      </c>
      <c r="I17" s="22">
        <v>9.7777777777777786</v>
      </c>
      <c r="J17" s="22">
        <v>9</v>
      </c>
      <c r="K17" s="22">
        <v>1</v>
      </c>
      <c r="L17" s="19">
        <v>1602.89</v>
      </c>
      <c r="M17" s="21">
        <v>264</v>
      </c>
      <c r="N17" s="23">
        <v>45450</v>
      </c>
      <c r="O17" s="30" t="s">
        <v>82</v>
      </c>
      <c r="R17" s="17"/>
    </row>
    <row r="18" spans="1:19" s="24" customFormat="1" ht="24.95" customHeight="1">
      <c r="A18" s="6">
        <v>16</v>
      </c>
      <c r="B18" s="17">
        <v>12</v>
      </c>
      <c r="C18" s="18" t="s">
        <v>32</v>
      </c>
      <c r="D18" s="19">
        <v>1148.78</v>
      </c>
      <c r="E18" s="19">
        <v>2966.68</v>
      </c>
      <c r="F18" s="20">
        <f>(D18-E18)/E18</f>
        <v>-0.6127725268650478</v>
      </c>
      <c r="G18" s="21">
        <v>184</v>
      </c>
      <c r="H18" s="22">
        <v>15</v>
      </c>
      <c r="I18" s="22">
        <f t="shared" ref="I18:I26" si="1">G18/H18</f>
        <v>12.266666666666667</v>
      </c>
      <c r="J18" s="22">
        <v>3</v>
      </c>
      <c r="K18" s="22">
        <v>7</v>
      </c>
      <c r="L18" s="19">
        <v>102782.6</v>
      </c>
      <c r="M18" s="21">
        <v>14738</v>
      </c>
      <c r="N18" s="23">
        <v>45408</v>
      </c>
      <c r="O18" s="30" t="s">
        <v>63</v>
      </c>
      <c r="R18" s="17"/>
    </row>
    <row r="19" spans="1:19" s="24" customFormat="1" ht="24.95" customHeight="1">
      <c r="A19" s="17">
        <v>17</v>
      </c>
      <c r="B19" s="19" t="s">
        <v>15</v>
      </c>
      <c r="C19" s="18" t="s">
        <v>96</v>
      </c>
      <c r="D19" s="19">
        <v>1012</v>
      </c>
      <c r="E19" s="19" t="s">
        <v>15</v>
      </c>
      <c r="F19" s="20" t="s">
        <v>15</v>
      </c>
      <c r="G19" s="21">
        <v>478</v>
      </c>
      <c r="H19" s="22">
        <v>28</v>
      </c>
      <c r="I19" s="22">
        <f t="shared" si="1"/>
        <v>17.071428571428573</v>
      </c>
      <c r="J19" s="22">
        <v>4</v>
      </c>
      <c r="K19" s="22" t="s">
        <v>15</v>
      </c>
      <c r="L19" s="19">
        <v>46951.839999999997</v>
      </c>
      <c r="M19" s="21">
        <v>10024</v>
      </c>
      <c r="N19" s="23">
        <v>45044</v>
      </c>
      <c r="O19" s="30" t="s">
        <v>14</v>
      </c>
      <c r="R19" s="17"/>
    </row>
    <row r="20" spans="1:19" s="24" customFormat="1" ht="24.95" customHeight="1">
      <c r="A20" s="6">
        <v>18</v>
      </c>
      <c r="B20" s="19" t="s">
        <v>15</v>
      </c>
      <c r="C20" s="18" t="s">
        <v>97</v>
      </c>
      <c r="D20" s="19">
        <v>698.5</v>
      </c>
      <c r="E20" s="20" t="s">
        <v>15</v>
      </c>
      <c r="F20" s="20" t="s">
        <v>15</v>
      </c>
      <c r="G20" s="21">
        <v>301</v>
      </c>
      <c r="H20" s="22">
        <v>28</v>
      </c>
      <c r="I20" s="22">
        <f t="shared" si="1"/>
        <v>10.75</v>
      </c>
      <c r="J20" s="22">
        <v>4</v>
      </c>
      <c r="K20" s="22" t="s">
        <v>15</v>
      </c>
      <c r="L20" s="19">
        <v>125686.93</v>
      </c>
      <c r="M20" s="21">
        <v>25445</v>
      </c>
      <c r="N20" s="23">
        <v>45163</v>
      </c>
      <c r="O20" s="30" t="s">
        <v>14</v>
      </c>
      <c r="R20" s="17"/>
    </row>
    <row r="21" spans="1:19" s="24" customFormat="1" ht="24.95" customHeight="1">
      <c r="A21" s="17">
        <v>19</v>
      </c>
      <c r="B21" s="17">
        <v>13</v>
      </c>
      <c r="C21" s="18" t="s">
        <v>38</v>
      </c>
      <c r="D21" s="28">
        <v>562.70000000000005</v>
      </c>
      <c r="E21" s="28">
        <v>2582.64</v>
      </c>
      <c r="F21" s="20">
        <f>(D21-E21)/E21</f>
        <v>-0.78212216956292779</v>
      </c>
      <c r="G21" s="29">
        <v>91</v>
      </c>
      <c r="H21" s="21">
        <v>16</v>
      </c>
      <c r="I21" s="22">
        <f t="shared" si="1"/>
        <v>5.6875</v>
      </c>
      <c r="J21" s="22">
        <v>9</v>
      </c>
      <c r="K21" s="22">
        <v>2</v>
      </c>
      <c r="L21" s="28">
        <v>4203.01</v>
      </c>
      <c r="M21" s="29">
        <v>719</v>
      </c>
      <c r="N21" s="23">
        <v>45443</v>
      </c>
      <c r="O21" s="30" t="s">
        <v>64</v>
      </c>
      <c r="R21" s="17"/>
    </row>
    <row r="22" spans="1:19" s="24" customFormat="1" ht="24.75" customHeight="1">
      <c r="A22" s="6">
        <v>20</v>
      </c>
      <c r="B22" s="17">
        <v>24</v>
      </c>
      <c r="C22" s="25" t="s">
        <v>73</v>
      </c>
      <c r="D22" s="19">
        <v>493.7</v>
      </c>
      <c r="E22" s="19">
        <v>288.60000000000002</v>
      </c>
      <c r="F22" s="20">
        <f>(D22-E22)/E22</f>
        <v>0.71067221067221054</v>
      </c>
      <c r="G22" s="21">
        <v>142</v>
      </c>
      <c r="H22" s="17">
        <v>19</v>
      </c>
      <c r="I22" s="22">
        <f t="shared" si="1"/>
        <v>7.4736842105263159</v>
      </c>
      <c r="J22" s="22">
        <v>5</v>
      </c>
      <c r="K22" s="22">
        <v>2</v>
      </c>
      <c r="L22" s="19">
        <v>782.3</v>
      </c>
      <c r="M22" s="21">
        <v>222</v>
      </c>
      <c r="N22" s="23">
        <v>45443</v>
      </c>
      <c r="O22" s="53" t="s">
        <v>68</v>
      </c>
      <c r="R22" s="17"/>
    </row>
    <row r="23" spans="1:19" s="27" customFormat="1" ht="24.75" customHeight="1">
      <c r="A23" s="17">
        <v>21</v>
      </c>
      <c r="B23" s="19" t="s">
        <v>15</v>
      </c>
      <c r="C23" s="18" t="s">
        <v>94</v>
      </c>
      <c r="D23" s="19">
        <v>426.4</v>
      </c>
      <c r="E23" s="19" t="s">
        <v>15</v>
      </c>
      <c r="F23" s="20" t="s">
        <v>15</v>
      </c>
      <c r="G23" s="21">
        <v>150</v>
      </c>
      <c r="H23" s="22">
        <v>2</v>
      </c>
      <c r="I23" s="22">
        <f t="shared" si="1"/>
        <v>75</v>
      </c>
      <c r="J23" s="22">
        <v>3</v>
      </c>
      <c r="K23" s="22" t="s">
        <v>15</v>
      </c>
      <c r="L23" s="19">
        <v>4680.7099999999991</v>
      </c>
      <c r="M23" s="21">
        <v>1077</v>
      </c>
      <c r="N23" s="23">
        <v>45422</v>
      </c>
      <c r="O23" s="30" t="s">
        <v>95</v>
      </c>
      <c r="R23" s="17"/>
      <c r="S23" s="24"/>
    </row>
    <row r="24" spans="1:19" s="27" customFormat="1" ht="24.95" customHeight="1">
      <c r="A24" s="6">
        <v>22</v>
      </c>
      <c r="B24" s="19" t="s">
        <v>15</v>
      </c>
      <c r="C24" s="18" t="s">
        <v>109</v>
      </c>
      <c r="D24" s="19">
        <v>400</v>
      </c>
      <c r="E24" s="19" t="s">
        <v>15</v>
      </c>
      <c r="F24" s="20" t="s">
        <v>15</v>
      </c>
      <c r="G24" s="21">
        <v>80</v>
      </c>
      <c r="H24" s="22">
        <v>1</v>
      </c>
      <c r="I24" s="22">
        <f t="shared" si="1"/>
        <v>80</v>
      </c>
      <c r="J24" s="17">
        <v>1</v>
      </c>
      <c r="K24" s="22" t="s">
        <v>15</v>
      </c>
      <c r="L24" s="19">
        <v>789.15</v>
      </c>
      <c r="M24" s="21">
        <v>201</v>
      </c>
      <c r="N24" s="23">
        <v>44655</v>
      </c>
      <c r="O24" s="30" t="s">
        <v>25</v>
      </c>
      <c r="R24" s="17"/>
      <c r="S24" s="24"/>
    </row>
    <row r="25" spans="1:19" s="27" customFormat="1" ht="24.75" customHeight="1">
      <c r="A25" s="17">
        <v>23</v>
      </c>
      <c r="B25" s="22" t="s">
        <v>15</v>
      </c>
      <c r="C25" s="18" t="s">
        <v>47</v>
      </c>
      <c r="D25" s="19">
        <v>324.48</v>
      </c>
      <c r="E25" s="19" t="s">
        <v>15</v>
      </c>
      <c r="F25" s="19" t="s">
        <v>15</v>
      </c>
      <c r="G25" s="21">
        <v>99</v>
      </c>
      <c r="H25" s="21">
        <v>3</v>
      </c>
      <c r="I25" s="22">
        <f t="shared" si="1"/>
        <v>33</v>
      </c>
      <c r="J25" s="22">
        <v>3</v>
      </c>
      <c r="K25" s="21" t="s">
        <v>15</v>
      </c>
      <c r="L25" s="19">
        <v>23415.51</v>
      </c>
      <c r="M25" s="21">
        <v>3803</v>
      </c>
      <c r="N25" s="23">
        <v>45359</v>
      </c>
      <c r="O25" s="30" t="s">
        <v>66</v>
      </c>
      <c r="R25" s="17"/>
      <c r="S25" s="24"/>
    </row>
    <row r="26" spans="1:19" s="27" customFormat="1" ht="24.75" customHeight="1">
      <c r="A26" s="6">
        <v>24</v>
      </c>
      <c r="B26" s="19" t="s">
        <v>15</v>
      </c>
      <c r="C26" s="13" t="s">
        <v>53</v>
      </c>
      <c r="D26" s="8">
        <v>320</v>
      </c>
      <c r="E26" s="19" t="s">
        <v>15</v>
      </c>
      <c r="F26" s="20" t="s">
        <v>15</v>
      </c>
      <c r="G26" s="10">
        <v>64</v>
      </c>
      <c r="H26" s="6">
        <v>1</v>
      </c>
      <c r="I26" s="22">
        <f t="shared" si="1"/>
        <v>64</v>
      </c>
      <c r="J26" s="6">
        <v>1</v>
      </c>
      <c r="K26" s="22" t="s">
        <v>15</v>
      </c>
      <c r="L26" s="8">
        <v>1031.51</v>
      </c>
      <c r="M26" s="10">
        <v>204</v>
      </c>
      <c r="N26" s="12">
        <v>45401</v>
      </c>
      <c r="O26" s="34" t="s">
        <v>63</v>
      </c>
    </row>
    <row r="27" spans="1:19" s="27" customFormat="1" ht="24.75" customHeight="1">
      <c r="A27" s="17">
        <v>25</v>
      </c>
      <c r="B27" s="17">
        <v>14</v>
      </c>
      <c r="C27" s="18" t="s">
        <v>84</v>
      </c>
      <c r="D27" s="19">
        <v>297.8</v>
      </c>
      <c r="E27" s="19">
        <v>1946.1999999999998</v>
      </c>
      <c r="F27" s="20">
        <f>(D27-E27)/E27</f>
        <v>-0.84698386599527287</v>
      </c>
      <c r="G27" s="21">
        <v>54</v>
      </c>
      <c r="H27" s="17">
        <v>4</v>
      </c>
      <c r="I27" s="22">
        <v>13.5</v>
      </c>
      <c r="J27" s="22">
        <v>3</v>
      </c>
      <c r="K27" s="19" t="s">
        <v>15</v>
      </c>
      <c r="L27" s="19">
        <v>10638.849999999999</v>
      </c>
      <c r="M27" s="21">
        <v>1688</v>
      </c>
      <c r="N27" s="23">
        <v>45408</v>
      </c>
      <c r="O27" s="30" t="s">
        <v>82</v>
      </c>
    </row>
    <row r="28" spans="1:19" s="27" customFormat="1" ht="24.75" customHeight="1">
      <c r="A28" s="6">
        <v>26</v>
      </c>
      <c r="B28" s="17">
        <v>25</v>
      </c>
      <c r="C28" s="18" t="s">
        <v>87</v>
      </c>
      <c r="D28" s="19">
        <v>289.49</v>
      </c>
      <c r="E28" s="19">
        <v>278.48</v>
      </c>
      <c r="F28" s="20">
        <f>(D28-E28)/E28</f>
        <v>3.9536052858373992E-2</v>
      </c>
      <c r="G28" s="21">
        <v>89</v>
      </c>
      <c r="H28" s="22">
        <v>1</v>
      </c>
      <c r="I28" s="22">
        <f t="shared" ref="I28:I33" si="2">G28/H28</f>
        <v>89</v>
      </c>
      <c r="J28" s="22">
        <v>1</v>
      </c>
      <c r="K28" s="22" t="s">
        <v>15</v>
      </c>
      <c r="L28" s="19">
        <v>236991.14</v>
      </c>
      <c r="M28" s="21">
        <v>51417</v>
      </c>
      <c r="N28" s="23">
        <v>44400</v>
      </c>
      <c r="O28" s="30" t="s">
        <v>18</v>
      </c>
    </row>
    <row r="29" spans="1:19" s="27" customFormat="1" ht="24.75" customHeight="1">
      <c r="A29" s="17">
        <v>27</v>
      </c>
      <c r="B29" s="19" t="s">
        <v>15</v>
      </c>
      <c r="C29" s="18" t="s">
        <v>98</v>
      </c>
      <c r="D29" s="19">
        <v>259.99</v>
      </c>
      <c r="E29" s="19" t="s">
        <v>15</v>
      </c>
      <c r="F29" s="20" t="s">
        <v>15</v>
      </c>
      <c r="G29" s="21">
        <v>76</v>
      </c>
      <c r="H29" s="22">
        <v>1</v>
      </c>
      <c r="I29" s="22">
        <f t="shared" si="2"/>
        <v>76</v>
      </c>
      <c r="J29" s="22">
        <v>2</v>
      </c>
      <c r="K29" s="22" t="s">
        <v>15</v>
      </c>
      <c r="L29" s="19">
        <v>189998.16</v>
      </c>
      <c r="M29" s="21">
        <v>27089</v>
      </c>
      <c r="N29" s="23">
        <v>45380</v>
      </c>
      <c r="O29" s="30" t="s">
        <v>12</v>
      </c>
    </row>
    <row r="30" spans="1:19" s="27" customFormat="1" ht="24.75" customHeight="1">
      <c r="A30" s="6">
        <v>28</v>
      </c>
      <c r="B30" s="20" t="s">
        <v>15</v>
      </c>
      <c r="C30" s="25" t="s">
        <v>99</v>
      </c>
      <c r="D30" s="19">
        <v>250</v>
      </c>
      <c r="E30" s="19" t="s">
        <v>15</v>
      </c>
      <c r="F30" s="20" t="s">
        <v>15</v>
      </c>
      <c r="G30" s="21">
        <v>40</v>
      </c>
      <c r="H30" s="21">
        <v>1</v>
      </c>
      <c r="I30" s="22">
        <f t="shared" si="2"/>
        <v>40</v>
      </c>
      <c r="J30" s="22">
        <v>1</v>
      </c>
      <c r="K30" s="20" t="s">
        <v>15</v>
      </c>
      <c r="L30" s="19">
        <v>12128.2</v>
      </c>
      <c r="M30" s="21">
        <v>2228</v>
      </c>
      <c r="N30" s="23">
        <v>45009</v>
      </c>
      <c r="O30" s="35" t="s">
        <v>100</v>
      </c>
    </row>
    <row r="31" spans="1:19" s="27" customFormat="1" ht="24.75" customHeight="1">
      <c r="A31" s="17">
        <v>29</v>
      </c>
      <c r="B31" s="17">
        <v>28</v>
      </c>
      <c r="C31" s="18" t="s">
        <v>48</v>
      </c>
      <c r="D31" s="19">
        <v>233</v>
      </c>
      <c r="E31" s="19">
        <v>84.49</v>
      </c>
      <c r="F31" s="20">
        <f>(D31-E31)/E31</f>
        <v>1.7577228074328324</v>
      </c>
      <c r="G31" s="21">
        <v>57</v>
      </c>
      <c r="H31" s="22">
        <v>1</v>
      </c>
      <c r="I31" s="22">
        <f t="shared" si="2"/>
        <v>57</v>
      </c>
      <c r="J31" s="22">
        <v>1</v>
      </c>
      <c r="K31" s="20" t="s">
        <v>15</v>
      </c>
      <c r="L31" s="19">
        <v>191543.96</v>
      </c>
      <c r="M31" s="21">
        <v>47828</v>
      </c>
      <c r="N31" s="23">
        <v>44659</v>
      </c>
      <c r="O31" s="30" t="s">
        <v>11</v>
      </c>
    </row>
    <row r="32" spans="1:19" s="27" customFormat="1" ht="24.75" customHeight="1">
      <c r="A32" s="6">
        <v>30</v>
      </c>
      <c r="B32" s="19" t="s">
        <v>15</v>
      </c>
      <c r="C32" s="7" t="s">
        <v>101</v>
      </c>
      <c r="D32" s="8">
        <v>220</v>
      </c>
      <c r="E32" s="19" t="s">
        <v>15</v>
      </c>
      <c r="F32" s="20" t="s">
        <v>15</v>
      </c>
      <c r="G32" s="10">
        <v>44</v>
      </c>
      <c r="H32" s="11">
        <v>1</v>
      </c>
      <c r="I32" s="11">
        <f t="shared" si="2"/>
        <v>44</v>
      </c>
      <c r="J32" s="11">
        <v>1</v>
      </c>
      <c r="K32" s="20" t="s">
        <v>15</v>
      </c>
      <c r="L32" s="19">
        <v>285061.69</v>
      </c>
      <c r="M32" s="21">
        <v>48341</v>
      </c>
      <c r="N32" s="12">
        <v>44973</v>
      </c>
      <c r="O32" s="31" t="s">
        <v>11</v>
      </c>
    </row>
    <row r="33" spans="1:16" ht="24.95" customHeight="1">
      <c r="A33" s="17">
        <v>31</v>
      </c>
      <c r="B33" s="17">
        <v>29</v>
      </c>
      <c r="C33" s="18" t="s">
        <v>86</v>
      </c>
      <c r="D33" s="19">
        <v>212</v>
      </c>
      <c r="E33" s="19">
        <v>81</v>
      </c>
      <c r="F33" s="20">
        <f>(D33-E33)/E33</f>
        <v>1.617283950617284</v>
      </c>
      <c r="G33" s="21">
        <v>32</v>
      </c>
      <c r="H33" s="22">
        <v>2</v>
      </c>
      <c r="I33" s="22">
        <f t="shared" si="2"/>
        <v>16</v>
      </c>
      <c r="J33" s="22">
        <v>2</v>
      </c>
      <c r="K33" s="20" t="s">
        <v>15</v>
      </c>
      <c r="L33" s="19">
        <v>362331.55</v>
      </c>
      <c r="M33" s="21">
        <v>51938</v>
      </c>
      <c r="N33" s="23">
        <v>45310</v>
      </c>
      <c r="O33" s="30" t="s">
        <v>18</v>
      </c>
    </row>
    <row r="34" spans="1:16" s="27" customFormat="1" ht="24.95" customHeight="1">
      <c r="A34" s="6">
        <v>32</v>
      </c>
      <c r="B34" s="19" t="s">
        <v>15</v>
      </c>
      <c r="C34" s="18" t="s">
        <v>107</v>
      </c>
      <c r="D34" s="19">
        <v>210</v>
      </c>
      <c r="E34" s="19" t="s">
        <v>15</v>
      </c>
      <c r="F34" s="20" t="s">
        <v>15</v>
      </c>
      <c r="G34" s="21">
        <v>65</v>
      </c>
      <c r="H34" s="19" t="s">
        <v>15</v>
      </c>
      <c r="I34" s="20" t="s">
        <v>15</v>
      </c>
      <c r="J34" s="17">
        <v>1</v>
      </c>
      <c r="K34" s="19" t="s">
        <v>15</v>
      </c>
      <c r="L34" s="19">
        <v>1317567.8899999999</v>
      </c>
      <c r="M34" s="21">
        <v>194936</v>
      </c>
      <c r="N34" s="23">
        <v>45310</v>
      </c>
      <c r="O34" s="30" t="s">
        <v>108</v>
      </c>
    </row>
    <row r="35" spans="1:16" s="27" customFormat="1" ht="24.95" customHeight="1">
      <c r="A35" s="17">
        <v>33</v>
      </c>
      <c r="B35" s="19" t="s">
        <v>15</v>
      </c>
      <c r="C35" s="18" t="s">
        <v>102</v>
      </c>
      <c r="D35" s="56">
        <v>177</v>
      </c>
      <c r="E35" s="19" t="s">
        <v>15</v>
      </c>
      <c r="F35" s="20" t="s">
        <v>15</v>
      </c>
      <c r="G35" s="21">
        <v>39</v>
      </c>
      <c r="H35" s="21">
        <v>1</v>
      </c>
      <c r="I35" s="38">
        <f>G35/H35</f>
        <v>39</v>
      </c>
      <c r="J35" s="22">
        <v>1</v>
      </c>
      <c r="K35" s="20" t="s">
        <v>15</v>
      </c>
      <c r="L35" s="19">
        <v>40759.75</v>
      </c>
      <c r="M35" s="21">
        <v>5891</v>
      </c>
      <c r="N35" s="23">
        <v>45359</v>
      </c>
      <c r="O35" s="30" t="s">
        <v>103</v>
      </c>
    </row>
    <row r="36" spans="1:16" ht="24.95" customHeight="1">
      <c r="A36" s="6">
        <v>34</v>
      </c>
      <c r="B36" s="19" t="s">
        <v>15</v>
      </c>
      <c r="C36" s="18" t="s">
        <v>104</v>
      </c>
      <c r="D36" s="19">
        <v>167.3</v>
      </c>
      <c r="E36" s="19" t="s">
        <v>15</v>
      </c>
      <c r="F36" s="20" t="s">
        <v>15</v>
      </c>
      <c r="G36" s="21">
        <v>49</v>
      </c>
      <c r="H36" s="21">
        <v>2</v>
      </c>
      <c r="I36" s="22">
        <v>7</v>
      </c>
      <c r="J36" s="22">
        <v>2</v>
      </c>
      <c r="K36" s="20" t="s">
        <v>15</v>
      </c>
      <c r="L36" s="19">
        <v>136660.91</v>
      </c>
      <c r="M36" s="21">
        <v>26076</v>
      </c>
      <c r="N36" s="23">
        <v>45331</v>
      </c>
      <c r="O36" s="30" t="s">
        <v>11</v>
      </c>
    </row>
    <row r="37" spans="1:16" s="27" customFormat="1" ht="24.95" customHeight="1">
      <c r="A37" s="17">
        <v>35</v>
      </c>
      <c r="B37" s="17">
        <v>17</v>
      </c>
      <c r="C37" s="18" t="s">
        <v>40</v>
      </c>
      <c r="D37" s="19">
        <v>165.4</v>
      </c>
      <c r="E37" s="19">
        <v>1170.7</v>
      </c>
      <c r="F37" s="20">
        <f>(D37-E37)/E37</f>
        <v>-0.85871700691893738</v>
      </c>
      <c r="G37" s="21">
        <v>25</v>
      </c>
      <c r="H37" s="22">
        <v>5</v>
      </c>
      <c r="I37" s="22">
        <v>5</v>
      </c>
      <c r="J37" s="22">
        <v>4</v>
      </c>
      <c r="K37" s="22">
        <v>4</v>
      </c>
      <c r="L37" s="19">
        <v>6122.26</v>
      </c>
      <c r="M37" s="21">
        <v>1100</v>
      </c>
      <c r="N37" s="23">
        <v>45429</v>
      </c>
      <c r="O37" s="30" t="s">
        <v>25</v>
      </c>
    </row>
    <row r="38" spans="1:16" s="27" customFormat="1" ht="24.95" customHeight="1">
      <c r="A38" s="17">
        <v>36</v>
      </c>
      <c r="B38" s="17">
        <v>31</v>
      </c>
      <c r="C38" s="18" t="s">
        <v>43</v>
      </c>
      <c r="D38" s="19">
        <v>151</v>
      </c>
      <c r="E38" s="19">
        <v>45</v>
      </c>
      <c r="F38" s="20">
        <f>(D38-E38)/E38</f>
        <v>2.3555555555555556</v>
      </c>
      <c r="G38" s="21">
        <v>26</v>
      </c>
      <c r="H38" s="22">
        <v>2</v>
      </c>
      <c r="I38" s="22">
        <f>G38/H38</f>
        <v>13</v>
      </c>
      <c r="J38" s="22">
        <v>1</v>
      </c>
      <c r="K38" s="22">
        <v>8</v>
      </c>
      <c r="L38" s="19">
        <v>95209.16</v>
      </c>
      <c r="M38" s="21">
        <v>13079</v>
      </c>
      <c r="N38" s="23">
        <v>45401</v>
      </c>
      <c r="O38" s="30" t="s">
        <v>11</v>
      </c>
    </row>
    <row r="39" spans="1:16" s="27" customFormat="1" ht="24.95" customHeight="1">
      <c r="A39" s="17">
        <v>37</v>
      </c>
      <c r="B39" s="17">
        <v>9</v>
      </c>
      <c r="C39" s="18" t="s">
        <v>85</v>
      </c>
      <c r="D39" s="19">
        <v>138</v>
      </c>
      <c r="E39" s="19">
        <v>4778</v>
      </c>
      <c r="F39" s="20">
        <f>(D39-E39)/E39</f>
        <v>-0.97111762243616573</v>
      </c>
      <c r="G39" s="21">
        <v>28</v>
      </c>
      <c r="H39" s="22" t="s">
        <v>15</v>
      </c>
      <c r="I39" s="22" t="s">
        <v>15</v>
      </c>
      <c r="J39" s="22">
        <v>3</v>
      </c>
      <c r="K39" s="21">
        <v>2</v>
      </c>
      <c r="L39" s="19">
        <v>4916</v>
      </c>
      <c r="M39" s="21">
        <v>743</v>
      </c>
      <c r="N39" s="23">
        <v>45443</v>
      </c>
      <c r="O39" s="30" t="s">
        <v>13</v>
      </c>
    </row>
    <row r="40" spans="1:16" s="27" customFormat="1" ht="24.95" customHeight="1">
      <c r="A40" s="17">
        <v>38</v>
      </c>
      <c r="B40" s="17">
        <v>27</v>
      </c>
      <c r="C40" s="25" t="s">
        <v>44</v>
      </c>
      <c r="D40" s="19">
        <v>136.4</v>
      </c>
      <c r="E40" s="19">
        <v>202.4</v>
      </c>
      <c r="F40" s="20">
        <f>(D40-E40)/E40</f>
        <v>-0.32608695652173914</v>
      </c>
      <c r="G40" s="21">
        <v>24</v>
      </c>
      <c r="H40" s="22">
        <v>2</v>
      </c>
      <c r="I40" s="22">
        <v>12</v>
      </c>
      <c r="J40" s="22">
        <v>2</v>
      </c>
      <c r="K40" s="22">
        <v>12</v>
      </c>
      <c r="L40" s="19">
        <v>57800.9</v>
      </c>
      <c r="M40" s="21">
        <v>9100</v>
      </c>
      <c r="N40" s="23">
        <v>45379</v>
      </c>
      <c r="O40" s="35" t="s">
        <v>25</v>
      </c>
    </row>
    <row r="41" spans="1:16" s="27" customFormat="1" ht="24.95" customHeight="1">
      <c r="A41" s="17">
        <v>39</v>
      </c>
      <c r="B41" s="17">
        <v>23</v>
      </c>
      <c r="C41" s="25" t="s">
        <v>46</v>
      </c>
      <c r="D41" s="19">
        <v>122.3</v>
      </c>
      <c r="E41" s="19">
        <v>311</v>
      </c>
      <c r="F41" s="20">
        <f>(D41-E41)/E41</f>
        <v>-0.6067524115755627</v>
      </c>
      <c r="G41" s="21">
        <v>16</v>
      </c>
      <c r="H41" s="17">
        <v>2</v>
      </c>
      <c r="I41" s="22">
        <v>8</v>
      </c>
      <c r="J41" s="22">
        <v>2</v>
      </c>
      <c r="K41" s="22">
        <v>12</v>
      </c>
      <c r="L41" s="19">
        <v>65891.289999999994</v>
      </c>
      <c r="M41" s="21">
        <v>10105</v>
      </c>
      <c r="N41" s="23">
        <v>45379</v>
      </c>
      <c r="O41" s="53" t="s">
        <v>25</v>
      </c>
    </row>
    <row r="42" spans="1:16" s="27" customFormat="1" ht="24.95" customHeight="1">
      <c r="A42" s="17">
        <v>40</v>
      </c>
      <c r="B42" s="17">
        <v>18</v>
      </c>
      <c r="C42" s="18" t="s">
        <v>81</v>
      </c>
      <c r="D42" s="19">
        <v>106</v>
      </c>
      <c r="E42" s="19">
        <v>849.50000000000023</v>
      </c>
      <c r="F42" s="20" t="s">
        <v>15</v>
      </c>
      <c r="G42" s="21">
        <v>22</v>
      </c>
      <c r="H42" s="17">
        <v>1</v>
      </c>
      <c r="I42" s="22">
        <v>22</v>
      </c>
      <c r="J42" s="22">
        <v>1</v>
      </c>
      <c r="K42" s="19" t="s">
        <v>15</v>
      </c>
      <c r="L42" s="19">
        <v>3727.7000000000003</v>
      </c>
      <c r="M42" s="21">
        <v>685</v>
      </c>
      <c r="N42" s="23">
        <v>45415</v>
      </c>
      <c r="O42" s="30" t="s">
        <v>82</v>
      </c>
    </row>
    <row r="43" spans="1:16" s="27" customFormat="1" ht="24.95" customHeight="1">
      <c r="A43" s="17">
        <v>41</v>
      </c>
      <c r="B43" s="17">
        <v>30</v>
      </c>
      <c r="C43" s="18" t="s">
        <v>80</v>
      </c>
      <c r="D43" s="19">
        <v>96</v>
      </c>
      <c r="E43" s="19">
        <v>70</v>
      </c>
      <c r="F43" s="20">
        <f>(D43-E43)/E43</f>
        <v>0.37142857142857144</v>
      </c>
      <c r="G43" s="21">
        <v>30</v>
      </c>
      <c r="H43" s="17">
        <v>1</v>
      </c>
      <c r="I43" s="22">
        <f>G43/H43</f>
        <v>30</v>
      </c>
      <c r="J43" s="22">
        <v>1</v>
      </c>
      <c r="K43" s="22" t="s">
        <v>15</v>
      </c>
      <c r="L43" s="19">
        <v>87572.17</v>
      </c>
      <c r="M43" s="21">
        <v>18033</v>
      </c>
      <c r="N43" s="23">
        <v>44855</v>
      </c>
      <c r="O43" s="30" t="s">
        <v>11</v>
      </c>
    </row>
    <row r="44" spans="1:16" s="27" customFormat="1" ht="24.95" customHeight="1">
      <c r="A44" s="6">
        <v>42</v>
      </c>
      <c r="B44" s="19" t="s">
        <v>15</v>
      </c>
      <c r="C44" s="18" t="s">
        <v>105</v>
      </c>
      <c r="D44" s="19">
        <v>88</v>
      </c>
      <c r="E44" s="19" t="s">
        <v>15</v>
      </c>
      <c r="F44" s="20" t="s">
        <v>15</v>
      </c>
      <c r="G44" s="21">
        <v>14</v>
      </c>
      <c r="H44" s="22">
        <v>1</v>
      </c>
      <c r="I44" s="22">
        <f>G44/H44</f>
        <v>14</v>
      </c>
      <c r="J44" s="17">
        <v>1</v>
      </c>
      <c r="K44" s="22" t="s">
        <v>15</v>
      </c>
      <c r="L44" s="19">
        <v>58866.12</v>
      </c>
      <c r="M44" s="21">
        <v>9225</v>
      </c>
      <c r="N44" s="23">
        <v>45254</v>
      </c>
      <c r="O44" s="30" t="s">
        <v>11</v>
      </c>
    </row>
    <row r="45" spans="1:16" s="27" customFormat="1" ht="24.95" customHeight="1">
      <c r="A45" s="17">
        <v>43</v>
      </c>
      <c r="B45" s="19" t="s">
        <v>15</v>
      </c>
      <c r="C45" s="18" t="s">
        <v>49</v>
      </c>
      <c r="D45" s="19">
        <v>87</v>
      </c>
      <c r="E45" s="19" t="s">
        <v>15</v>
      </c>
      <c r="F45" s="20" t="s">
        <v>15</v>
      </c>
      <c r="G45" s="21">
        <v>18</v>
      </c>
      <c r="H45" s="22">
        <v>1</v>
      </c>
      <c r="I45" s="22">
        <v>18</v>
      </c>
      <c r="J45" s="17">
        <v>1</v>
      </c>
      <c r="K45" s="22" t="s">
        <v>15</v>
      </c>
      <c r="L45" s="19">
        <v>37803.89</v>
      </c>
      <c r="M45" s="21">
        <v>3993</v>
      </c>
      <c r="N45" s="23">
        <v>45379</v>
      </c>
      <c r="O45" s="30" t="s">
        <v>25</v>
      </c>
    </row>
    <row r="46" spans="1:16" s="27" customFormat="1" ht="24.75" customHeight="1">
      <c r="A46" s="6">
        <v>44</v>
      </c>
      <c r="B46" s="17">
        <v>34</v>
      </c>
      <c r="C46" s="18" t="s">
        <v>50</v>
      </c>
      <c r="D46" s="19">
        <v>85</v>
      </c>
      <c r="E46" s="19">
        <v>28</v>
      </c>
      <c r="F46" s="20">
        <f>(D46-E46)/E46</f>
        <v>2.0357142857142856</v>
      </c>
      <c r="G46" s="21">
        <v>14</v>
      </c>
      <c r="H46" s="22">
        <v>3</v>
      </c>
      <c r="I46" s="22">
        <f>G46/H46</f>
        <v>4.666666666666667</v>
      </c>
      <c r="J46" s="22">
        <v>2</v>
      </c>
      <c r="K46" s="22">
        <v>7</v>
      </c>
      <c r="L46" s="19">
        <v>30595.53</v>
      </c>
      <c r="M46" s="21">
        <v>5939</v>
      </c>
      <c r="N46" s="23">
        <v>45408</v>
      </c>
      <c r="O46" s="30" t="s">
        <v>11</v>
      </c>
    </row>
    <row r="47" spans="1:16" s="27" customFormat="1" ht="24.95" customHeight="1">
      <c r="A47" s="17">
        <v>45</v>
      </c>
      <c r="B47" s="17">
        <v>32</v>
      </c>
      <c r="C47" s="25" t="s">
        <v>51</v>
      </c>
      <c r="D47" s="19">
        <v>79</v>
      </c>
      <c r="E47" s="19">
        <v>44</v>
      </c>
      <c r="F47" s="20">
        <f>(D47-E47)/E47</f>
        <v>0.79545454545454541</v>
      </c>
      <c r="G47" s="21">
        <v>15</v>
      </c>
      <c r="H47" s="22">
        <v>1</v>
      </c>
      <c r="I47" s="22">
        <f>G47/H47</f>
        <v>15</v>
      </c>
      <c r="J47" s="22">
        <v>1</v>
      </c>
      <c r="K47" s="22">
        <v>9</v>
      </c>
      <c r="L47" s="19">
        <v>76626.69</v>
      </c>
      <c r="M47" s="21">
        <v>11311</v>
      </c>
      <c r="N47" s="23">
        <v>45394</v>
      </c>
      <c r="O47" s="30" t="s">
        <v>63</v>
      </c>
      <c r="P47" s="55"/>
    </row>
    <row r="48" spans="1:16" s="27" customFormat="1" ht="24.95" customHeight="1">
      <c r="A48" s="6">
        <v>46</v>
      </c>
      <c r="B48" s="19" t="s">
        <v>15</v>
      </c>
      <c r="C48" s="18" t="s">
        <v>110</v>
      </c>
      <c r="D48" s="19">
        <v>32</v>
      </c>
      <c r="E48" s="19" t="s">
        <v>15</v>
      </c>
      <c r="F48" s="20" t="s">
        <v>15</v>
      </c>
      <c r="G48" s="21">
        <v>6</v>
      </c>
      <c r="H48" s="22">
        <v>1</v>
      </c>
      <c r="I48" s="22">
        <v>6</v>
      </c>
      <c r="J48" s="17">
        <v>1</v>
      </c>
      <c r="K48" s="22" t="s">
        <v>15</v>
      </c>
      <c r="L48" s="19">
        <v>64</v>
      </c>
      <c r="M48" s="21">
        <v>13</v>
      </c>
      <c r="N48" s="23" t="s">
        <v>111</v>
      </c>
      <c r="O48" s="30" t="s">
        <v>25</v>
      </c>
      <c r="P48" s="55"/>
    </row>
    <row r="49" spans="1:16" s="27" customFormat="1" ht="24.95" customHeight="1">
      <c r="A49" s="17">
        <v>47</v>
      </c>
      <c r="B49" s="17">
        <v>35</v>
      </c>
      <c r="C49" s="18" t="s">
        <v>36</v>
      </c>
      <c r="D49" s="19">
        <v>10</v>
      </c>
      <c r="E49" s="19">
        <v>23</v>
      </c>
      <c r="F49" s="20">
        <f>(D49-E49)/E49</f>
        <v>-0.56521739130434778</v>
      </c>
      <c r="G49" s="21">
        <v>2</v>
      </c>
      <c r="H49" s="22" t="s">
        <v>15</v>
      </c>
      <c r="I49" s="22" t="s">
        <v>15</v>
      </c>
      <c r="J49" s="22">
        <v>1</v>
      </c>
      <c r="K49" s="22">
        <v>4</v>
      </c>
      <c r="L49" s="19">
        <v>9113</v>
      </c>
      <c r="M49" s="21">
        <v>1611</v>
      </c>
      <c r="N49" s="23">
        <v>45429</v>
      </c>
      <c r="O49" s="30" t="s">
        <v>13</v>
      </c>
      <c r="P49" s="55"/>
    </row>
    <row r="50" spans="1:16" s="44" customFormat="1" ht="24.95" customHeight="1">
      <c r="A50" s="46" t="s">
        <v>26</v>
      </c>
      <c r="B50" s="46" t="s">
        <v>26</v>
      </c>
      <c r="C50" s="48" t="s">
        <v>112</v>
      </c>
      <c r="D50" s="49">
        <f>SUBTOTAL(109,Table1324[Pajamos 
(GBO)])</f>
        <v>353051.49000000005</v>
      </c>
      <c r="E50" s="49">
        <f>SUBTOTAL(109,Table132[Pajamos 
(GBO)])</f>
        <v>243521.22000000003</v>
      </c>
      <c r="F50" s="50">
        <f t="shared" ref="F50" si="3">(D50-E50)/E50</f>
        <v>0.44977710771981189</v>
      </c>
      <c r="G50" s="52">
        <f>SUBTOTAL(109,Table1324[Žiūrovų sk. 
(ADM)])</f>
        <v>61760</v>
      </c>
      <c r="H50" s="46"/>
      <c r="I50" s="46"/>
      <c r="J50" s="46"/>
      <c r="K50" s="46"/>
      <c r="L50" s="54"/>
      <c r="M50" s="46"/>
      <c r="N50" s="46"/>
      <c r="O50" s="46" t="s">
        <v>26</v>
      </c>
    </row>
    <row r="51" spans="1:16" ht="11.25" hidden="1">
      <c r="F51" s="3"/>
      <c r="L51" s="2"/>
    </row>
    <row r="52" spans="1:16" ht="11.25" hidden="1">
      <c r="F52" s="3"/>
      <c r="L52" s="2"/>
    </row>
    <row r="53" spans="1:16" ht="11.25" hidden="1">
      <c r="F53" s="3"/>
      <c r="L53" s="2"/>
    </row>
    <row r="54" spans="1:16" ht="11.25" hidden="1">
      <c r="F54" s="3"/>
      <c r="L54" s="2"/>
    </row>
    <row r="55" spans="1:16" ht="11.25" hidden="1">
      <c r="F55" s="3"/>
      <c r="L55" s="2"/>
    </row>
    <row r="56" spans="1:16" ht="11.25" hidden="1">
      <c r="F56" s="3"/>
      <c r="L56" s="2"/>
    </row>
    <row r="57" spans="1:16" ht="11.25" hidden="1">
      <c r="F57" s="3"/>
      <c r="L57" s="2"/>
    </row>
    <row r="58" spans="1:16" ht="11.25" hidden="1">
      <c r="F58" s="3"/>
      <c r="L58" s="2"/>
    </row>
    <row r="59" spans="1:16" ht="11.25" hidden="1">
      <c r="F59" s="3"/>
      <c r="L59" s="2"/>
    </row>
    <row r="60" spans="1:16" ht="11.25" hidden="1">
      <c r="F60" s="3"/>
      <c r="L60" s="2"/>
    </row>
    <row r="61" spans="1:16" ht="11.25" hidden="1">
      <c r="F61" s="3"/>
      <c r="L61" s="2"/>
    </row>
    <row r="62" spans="1:16" ht="11.25" hidden="1">
      <c r="F62" s="3"/>
      <c r="L62" s="2"/>
    </row>
    <row r="63" spans="1:16" ht="11.25" hidden="1">
      <c r="F63" s="3"/>
      <c r="L63" s="2"/>
    </row>
    <row r="64" spans="1:16" ht="11.25" hidden="1">
      <c r="F64" s="3"/>
    </row>
    <row r="65" spans="6:6" ht="11.25" hidden="1">
      <c r="F65" s="3"/>
    </row>
    <row r="66" spans="6:6" ht="11.25" hidden="1">
      <c r="F66" s="3"/>
    </row>
    <row r="67" spans="6:6" ht="11.25" hidden="1">
      <c r="F67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38DD6-8B80-46B8-B1AD-05E1E06CB2BA}">
  <sheetPr codeName="Sheet1">
    <pageSetUpPr fitToPage="1"/>
  </sheetPr>
  <dimension ref="A1:XFC56"/>
  <sheetViews>
    <sheetView zoomScale="60" zoomScaleNormal="60" workbookViewId="0">
      <selection activeCell="L15" sqref="L15"/>
    </sheetView>
  </sheetViews>
  <sheetFormatPr defaultColWidth="0" defaultRowHeight="11.25" customHeight="1" zeroHeight="1"/>
  <cols>
    <col min="1" max="2" width="4.7109375" style="1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3" t="s">
        <v>71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15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17">
        <v>1</v>
      </c>
      <c r="C3" s="18" t="s">
        <v>27</v>
      </c>
      <c r="D3" s="19">
        <v>128376.61</v>
      </c>
      <c r="E3" s="19">
        <v>113022</v>
      </c>
      <c r="F3" s="20">
        <f>(D3-E3)/E3</f>
        <v>0.13585505476809825</v>
      </c>
      <c r="G3" s="21">
        <v>23378</v>
      </c>
      <c r="H3" s="17">
        <v>550</v>
      </c>
      <c r="I3" s="22">
        <f t="shared" ref="I3:I10" si="0">G3/H3</f>
        <v>42.505454545454548</v>
      </c>
      <c r="J3" s="17">
        <v>19</v>
      </c>
      <c r="K3" s="22">
        <v>2</v>
      </c>
      <c r="L3" s="19">
        <v>254046.34</v>
      </c>
      <c r="M3" s="21">
        <v>46017</v>
      </c>
      <c r="N3" s="23">
        <v>45436</v>
      </c>
      <c r="O3" s="30" t="s">
        <v>61</v>
      </c>
    </row>
    <row r="4" spans="1:18" s="24" customFormat="1" ht="24.95" customHeight="1">
      <c r="A4" s="17">
        <v>2</v>
      </c>
      <c r="B4" s="17">
        <v>2</v>
      </c>
      <c r="C4" s="18" t="s">
        <v>28</v>
      </c>
      <c r="D4" s="19">
        <v>30227.66</v>
      </c>
      <c r="E4" s="19">
        <v>39523</v>
      </c>
      <c r="F4" s="20">
        <f>(D4-E4)/E4</f>
        <v>-0.23518811831085698</v>
      </c>
      <c r="G4" s="21">
        <v>3845</v>
      </c>
      <c r="H4" s="22">
        <v>294</v>
      </c>
      <c r="I4" s="22">
        <f t="shared" si="0"/>
        <v>13.078231292517007</v>
      </c>
      <c r="J4" s="17">
        <v>18</v>
      </c>
      <c r="K4" s="22">
        <v>2</v>
      </c>
      <c r="L4" s="19">
        <v>74534.92</v>
      </c>
      <c r="M4" s="21">
        <v>9795</v>
      </c>
      <c r="N4" s="23">
        <v>45436</v>
      </c>
      <c r="O4" s="30" t="s">
        <v>12</v>
      </c>
    </row>
    <row r="5" spans="1:18" s="24" customFormat="1" ht="24.95" customHeight="1">
      <c r="A5" s="17">
        <v>3</v>
      </c>
      <c r="B5" s="17">
        <v>3</v>
      </c>
      <c r="C5" s="25" t="s">
        <v>113</v>
      </c>
      <c r="D5" s="28">
        <v>12777.72</v>
      </c>
      <c r="E5" s="28">
        <v>12444</v>
      </c>
      <c r="F5" s="20">
        <f>(D5-E5)/E5</f>
        <v>2.6817743490838906E-2</v>
      </c>
      <c r="G5" s="29">
        <v>2772</v>
      </c>
      <c r="H5" s="21">
        <v>196</v>
      </c>
      <c r="I5" s="22">
        <f t="shared" si="0"/>
        <v>14.142857142857142</v>
      </c>
      <c r="J5" s="21">
        <v>16</v>
      </c>
      <c r="K5" s="22">
        <v>3</v>
      </c>
      <c r="L5" s="28">
        <v>70044.75</v>
      </c>
      <c r="M5" s="29">
        <v>13674</v>
      </c>
      <c r="N5" s="23">
        <v>45429</v>
      </c>
      <c r="O5" s="30" t="s">
        <v>62</v>
      </c>
      <c r="R5" s="17"/>
    </row>
    <row r="6" spans="1:18" s="24" customFormat="1" ht="24.95" customHeight="1">
      <c r="A6" s="17">
        <v>4</v>
      </c>
      <c r="B6" s="17">
        <v>6</v>
      </c>
      <c r="C6" s="18" t="s">
        <v>31</v>
      </c>
      <c r="D6" s="19">
        <v>10643.43</v>
      </c>
      <c r="E6" s="19">
        <v>9466</v>
      </c>
      <c r="F6" s="20">
        <f>(D6-E6)/E6</f>
        <v>0.12438516796957536</v>
      </c>
      <c r="G6" s="21">
        <v>1409</v>
      </c>
      <c r="H6" s="22">
        <v>82</v>
      </c>
      <c r="I6" s="22">
        <f t="shared" si="0"/>
        <v>17.182926829268293</v>
      </c>
      <c r="J6" s="17">
        <v>8</v>
      </c>
      <c r="K6" s="22">
        <v>4</v>
      </c>
      <c r="L6" s="19">
        <v>77427.83</v>
      </c>
      <c r="M6" s="21">
        <v>11282</v>
      </c>
      <c r="N6" s="23">
        <v>45422</v>
      </c>
      <c r="O6" s="30" t="s">
        <v>61</v>
      </c>
      <c r="R6" s="17"/>
    </row>
    <row r="7" spans="1:18" s="24" customFormat="1" ht="24.95" customHeight="1">
      <c r="A7" s="17">
        <v>5</v>
      </c>
      <c r="B7" s="17">
        <v>5</v>
      </c>
      <c r="C7" s="25" t="s">
        <v>30</v>
      </c>
      <c r="D7" s="28">
        <v>10472.950000000001</v>
      </c>
      <c r="E7" s="28">
        <v>11425</v>
      </c>
      <c r="F7" s="20">
        <f>(D7-E7)/E7</f>
        <v>-8.3330415754923351E-2</v>
      </c>
      <c r="G7" s="29">
        <v>1640</v>
      </c>
      <c r="H7" s="21">
        <v>116</v>
      </c>
      <c r="I7" s="22">
        <f t="shared" si="0"/>
        <v>14.137931034482758</v>
      </c>
      <c r="J7" s="21">
        <v>10</v>
      </c>
      <c r="K7" s="22">
        <v>4</v>
      </c>
      <c r="L7" s="28">
        <v>98679.79</v>
      </c>
      <c r="M7" s="29">
        <v>14038</v>
      </c>
      <c r="N7" s="23">
        <v>45422</v>
      </c>
      <c r="O7" s="53" t="s">
        <v>18</v>
      </c>
      <c r="R7" s="17"/>
    </row>
    <row r="8" spans="1:18" s="24" customFormat="1" ht="24.95" customHeight="1">
      <c r="A8" s="17">
        <v>6</v>
      </c>
      <c r="B8" s="17" t="s">
        <v>17</v>
      </c>
      <c r="C8" s="25" t="s">
        <v>41</v>
      </c>
      <c r="D8" s="28">
        <v>10284.31</v>
      </c>
      <c r="E8" s="19" t="s">
        <v>15</v>
      </c>
      <c r="F8" s="19" t="s">
        <v>15</v>
      </c>
      <c r="G8" s="29">
        <v>1492</v>
      </c>
      <c r="H8" s="21">
        <v>175</v>
      </c>
      <c r="I8" s="22">
        <f t="shared" si="0"/>
        <v>8.5257142857142849</v>
      </c>
      <c r="J8" s="21">
        <v>12</v>
      </c>
      <c r="K8" s="22">
        <v>1</v>
      </c>
      <c r="L8" s="28">
        <v>11026.74</v>
      </c>
      <c r="M8" s="29">
        <v>1492</v>
      </c>
      <c r="N8" s="23">
        <v>45443</v>
      </c>
      <c r="O8" s="53" t="s">
        <v>19</v>
      </c>
      <c r="R8" s="17"/>
    </row>
    <row r="9" spans="1:18" s="24" customFormat="1" ht="24.95" customHeight="1">
      <c r="A9" s="17">
        <v>7</v>
      </c>
      <c r="B9" s="17">
        <v>4</v>
      </c>
      <c r="C9" s="18" t="s">
        <v>29</v>
      </c>
      <c r="D9" s="19">
        <v>6057.06</v>
      </c>
      <c r="E9" s="19">
        <v>12063</v>
      </c>
      <c r="F9" s="20">
        <f>(D9-E9)/E9</f>
        <v>-0.49788112409848295</v>
      </c>
      <c r="G9" s="21">
        <v>885</v>
      </c>
      <c r="H9" s="22">
        <v>95</v>
      </c>
      <c r="I9" s="22">
        <f t="shared" si="0"/>
        <v>9.3157894736842106</v>
      </c>
      <c r="J9" s="17">
        <v>10</v>
      </c>
      <c r="K9" s="22">
        <v>2</v>
      </c>
      <c r="L9" s="19">
        <v>18434.04</v>
      </c>
      <c r="M9" s="21">
        <v>2748</v>
      </c>
      <c r="N9" s="23">
        <v>45436</v>
      </c>
      <c r="O9" s="30" t="s">
        <v>11</v>
      </c>
      <c r="R9" s="17"/>
    </row>
    <row r="10" spans="1:18" s="24" customFormat="1" ht="24.95" customHeight="1">
      <c r="A10" s="17">
        <v>8</v>
      </c>
      <c r="B10" s="17" t="s">
        <v>23</v>
      </c>
      <c r="C10" s="25" t="s">
        <v>78</v>
      </c>
      <c r="D10" s="19">
        <v>5409.19</v>
      </c>
      <c r="E10" s="19" t="s">
        <v>15</v>
      </c>
      <c r="F10" s="20" t="s">
        <v>15</v>
      </c>
      <c r="G10" s="17">
        <v>658</v>
      </c>
      <c r="H10" s="17">
        <v>10</v>
      </c>
      <c r="I10" s="22">
        <f t="shared" si="0"/>
        <v>65.8</v>
      </c>
      <c r="J10" s="17">
        <v>10</v>
      </c>
      <c r="K10" s="21">
        <v>0</v>
      </c>
      <c r="L10" s="19">
        <v>5409.19</v>
      </c>
      <c r="M10" s="21">
        <v>658</v>
      </c>
      <c r="N10" s="23" t="s">
        <v>24</v>
      </c>
      <c r="O10" s="30" t="s">
        <v>61</v>
      </c>
      <c r="R10" s="17"/>
    </row>
    <row r="11" spans="1:18" s="24" customFormat="1" ht="24.95" customHeight="1">
      <c r="A11" s="17">
        <v>9</v>
      </c>
      <c r="B11" s="19" t="s">
        <v>17</v>
      </c>
      <c r="C11" s="18" t="s">
        <v>85</v>
      </c>
      <c r="D11" s="19">
        <v>4778</v>
      </c>
      <c r="E11" s="19" t="s">
        <v>15</v>
      </c>
      <c r="F11" s="20" t="s">
        <v>15</v>
      </c>
      <c r="G11" s="17">
        <v>715</v>
      </c>
      <c r="H11" s="22" t="s">
        <v>15</v>
      </c>
      <c r="I11" s="22" t="s">
        <v>15</v>
      </c>
      <c r="J11" s="17">
        <v>13</v>
      </c>
      <c r="K11" s="21">
        <v>1</v>
      </c>
      <c r="L11" s="19">
        <v>4778</v>
      </c>
      <c r="M11" s="21">
        <v>715</v>
      </c>
      <c r="N11" s="23">
        <v>45443</v>
      </c>
      <c r="O11" s="30" t="s">
        <v>13</v>
      </c>
      <c r="R11" s="17"/>
    </row>
    <row r="12" spans="1:18" s="24" customFormat="1" ht="24.75" customHeight="1">
      <c r="A12" s="17">
        <v>10</v>
      </c>
      <c r="B12" s="17">
        <v>8</v>
      </c>
      <c r="C12" s="18" t="s">
        <v>33</v>
      </c>
      <c r="D12" s="19">
        <v>4150.75</v>
      </c>
      <c r="E12" s="19">
        <v>6436</v>
      </c>
      <c r="F12" s="20">
        <f>(D12-E12)/E12</f>
        <v>-0.35507302672467372</v>
      </c>
      <c r="G12" s="21">
        <v>606</v>
      </c>
      <c r="H12" s="22">
        <v>57</v>
      </c>
      <c r="I12" s="22">
        <f t="shared" ref="I12:I18" si="1">G12/H12</f>
        <v>10.631578947368421</v>
      </c>
      <c r="J12" s="17">
        <v>8</v>
      </c>
      <c r="K12" s="22">
        <v>5</v>
      </c>
      <c r="L12" s="19">
        <v>85756.7</v>
      </c>
      <c r="M12" s="21">
        <v>12609</v>
      </c>
      <c r="N12" s="23">
        <v>45415</v>
      </c>
      <c r="O12" s="30" t="s">
        <v>12</v>
      </c>
      <c r="R12" s="17"/>
    </row>
    <row r="13" spans="1:18" s="24" customFormat="1" ht="24.95" customHeight="1">
      <c r="A13" s="17">
        <v>11</v>
      </c>
      <c r="B13" s="17">
        <v>10</v>
      </c>
      <c r="C13" s="18" t="s">
        <v>35</v>
      </c>
      <c r="D13" s="19">
        <v>3956.89</v>
      </c>
      <c r="E13" s="19">
        <v>3255</v>
      </c>
      <c r="F13" s="20">
        <f>(D13-E13)/E13</f>
        <v>0.2156344086021505</v>
      </c>
      <c r="G13" s="21">
        <v>705</v>
      </c>
      <c r="H13" s="22">
        <v>107</v>
      </c>
      <c r="I13" s="22">
        <f t="shared" si="1"/>
        <v>6.5887850467289724</v>
      </c>
      <c r="J13" s="17">
        <v>9</v>
      </c>
      <c r="K13" s="22">
        <v>13</v>
      </c>
      <c r="L13" s="19">
        <v>864290.87</v>
      </c>
      <c r="M13" s="21">
        <v>149678</v>
      </c>
      <c r="N13" s="23">
        <v>45359</v>
      </c>
      <c r="O13" s="30" t="s">
        <v>63</v>
      </c>
      <c r="R13" s="17"/>
    </row>
    <row r="14" spans="1:18" s="24" customFormat="1" ht="24.95" customHeight="1">
      <c r="A14" s="17">
        <v>12</v>
      </c>
      <c r="B14" s="17">
        <v>7</v>
      </c>
      <c r="C14" s="18" t="s">
        <v>32</v>
      </c>
      <c r="D14" s="19">
        <v>2966.68</v>
      </c>
      <c r="E14" s="19">
        <v>6889</v>
      </c>
      <c r="F14" s="20">
        <f>(D14-E14)/E14</f>
        <v>-0.56935984903469306</v>
      </c>
      <c r="G14" s="21">
        <v>463</v>
      </c>
      <c r="H14" s="22">
        <v>39</v>
      </c>
      <c r="I14" s="22">
        <f t="shared" si="1"/>
        <v>11.871794871794872</v>
      </c>
      <c r="J14" s="17">
        <v>5</v>
      </c>
      <c r="K14" s="22">
        <v>6</v>
      </c>
      <c r="L14" s="19">
        <v>101633.82</v>
      </c>
      <c r="M14" s="21">
        <v>14554</v>
      </c>
      <c r="N14" s="23">
        <v>45408</v>
      </c>
      <c r="O14" s="30" t="s">
        <v>63</v>
      </c>
      <c r="R14" s="17"/>
    </row>
    <row r="15" spans="1:18" s="24" customFormat="1" ht="24.95" customHeight="1">
      <c r="A15" s="17">
        <v>13</v>
      </c>
      <c r="B15" s="17" t="s">
        <v>17</v>
      </c>
      <c r="C15" s="18" t="s">
        <v>38</v>
      </c>
      <c r="D15" s="28">
        <v>2582.64</v>
      </c>
      <c r="E15" s="19" t="s">
        <v>15</v>
      </c>
      <c r="F15" s="19" t="s">
        <v>15</v>
      </c>
      <c r="G15" s="29">
        <v>469</v>
      </c>
      <c r="H15" s="21">
        <v>89</v>
      </c>
      <c r="I15" s="22">
        <f t="shared" si="1"/>
        <v>5.2696629213483144</v>
      </c>
      <c r="J15" s="21">
        <v>19</v>
      </c>
      <c r="K15" s="22">
        <v>1</v>
      </c>
      <c r="L15" s="28">
        <v>3640.31</v>
      </c>
      <c r="M15" s="29">
        <v>628</v>
      </c>
      <c r="N15" s="23">
        <v>45443</v>
      </c>
      <c r="O15" s="30" t="s">
        <v>64</v>
      </c>
      <c r="R15" s="17"/>
    </row>
    <row r="16" spans="1:18" s="24" customFormat="1" ht="24.95" customHeight="1">
      <c r="A16" s="17">
        <v>14</v>
      </c>
      <c r="B16" s="19" t="s">
        <v>15</v>
      </c>
      <c r="C16" s="18" t="s">
        <v>84</v>
      </c>
      <c r="D16" s="19">
        <v>1946.1999999999998</v>
      </c>
      <c r="E16" s="19" t="s">
        <v>15</v>
      </c>
      <c r="F16" s="20" t="s">
        <v>15</v>
      </c>
      <c r="G16" s="17">
        <v>303</v>
      </c>
      <c r="H16" s="17">
        <v>28</v>
      </c>
      <c r="I16" s="22">
        <f t="shared" si="1"/>
        <v>10.821428571428571</v>
      </c>
      <c r="J16" s="17">
        <v>3</v>
      </c>
      <c r="K16" s="19" t="s">
        <v>15</v>
      </c>
      <c r="L16" s="19">
        <v>10341.049999999999</v>
      </c>
      <c r="M16" s="21">
        <v>1634</v>
      </c>
      <c r="N16" s="23">
        <v>45408</v>
      </c>
      <c r="O16" s="30" t="s">
        <v>82</v>
      </c>
      <c r="R16" s="17"/>
    </row>
    <row r="17" spans="1:19" s="24" customFormat="1" ht="24.95" customHeight="1">
      <c r="A17" s="17">
        <v>15</v>
      </c>
      <c r="B17" s="17">
        <v>12</v>
      </c>
      <c r="C17" s="18" t="s">
        <v>37</v>
      </c>
      <c r="D17" s="19">
        <v>1663.71</v>
      </c>
      <c r="E17" s="19">
        <v>1234</v>
      </c>
      <c r="F17" s="20">
        <f>(D17-E17)/E17</f>
        <v>0.34822528363047006</v>
      </c>
      <c r="G17" s="21">
        <v>390</v>
      </c>
      <c r="H17" s="22">
        <v>37</v>
      </c>
      <c r="I17" s="22">
        <f t="shared" si="1"/>
        <v>10.54054054054054</v>
      </c>
      <c r="J17" s="17"/>
      <c r="K17" s="38">
        <v>7</v>
      </c>
      <c r="L17" s="19">
        <v>97868.310000000012</v>
      </c>
      <c r="M17" s="21">
        <v>18684</v>
      </c>
      <c r="N17" s="23">
        <v>45401</v>
      </c>
      <c r="O17" s="30" t="s">
        <v>14</v>
      </c>
      <c r="R17" s="17"/>
    </row>
    <row r="18" spans="1:19" s="24" customFormat="1" ht="24.95" customHeight="1">
      <c r="A18" s="17">
        <v>16</v>
      </c>
      <c r="B18" s="17" t="s">
        <v>23</v>
      </c>
      <c r="C18" s="25" t="s">
        <v>79</v>
      </c>
      <c r="D18" s="19">
        <v>1634.86</v>
      </c>
      <c r="E18" s="19" t="s">
        <v>15</v>
      </c>
      <c r="F18" s="20" t="s">
        <v>15</v>
      </c>
      <c r="G18" s="17">
        <v>235</v>
      </c>
      <c r="H18" s="17">
        <v>11</v>
      </c>
      <c r="I18" s="22">
        <f t="shared" si="1"/>
        <v>21.363636363636363</v>
      </c>
      <c r="J18" s="17">
        <v>9</v>
      </c>
      <c r="K18" s="21">
        <v>0</v>
      </c>
      <c r="L18" s="19">
        <v>1634.86</v>
      </c>
      <c r="M18" s="21">
        <v>235</v>
      </c>
      <c r="N18" s="23" t="s">
        <v>24</v>
      </c>
      <c r="O18" s="30" t="s">
        <v>12</v>
      </c>
      <c r="R18" s="17"/>
    </row>
    <row r="19" spans="1:19" s="24" customFormat="1" ht="24.95" customHeight="1">
      <c r="A19" s="17">
        <v>17</v>
      </c>
      <c r="B19" s="17">
        <v>15</v>
      </c>
      <c r="C19" s="18" t="s">
        <v>40</v>
      </c>
      <c r="D19" s="19">
        <v>1170.7</v>
      </c>
      <c r="E19" s="19">
        <v>790</v>
      </c>
      <c r="F19" s="20">
        <f>(D19-E19)/E19</f>
        <v>0.48189873417721524</v>
      </c>
      <c r="G19" s="21">
        <v>237</v>
      </c>
      <c r="H19" s="22">
        <v>6</v>
      </c>
      <c r="I19" s="22">
        <v>39.5</v>
      </c>
      <c r="J19" s="17">
        <v>5</v>
      </c>
      <c r="K19" s="22">
        <v>3</v>
      </c>
      <c r="L19" s="19">
        <v>5246.66</v>
      </c>
      <c r="M19" s="21">
        <v>955</v>
      </c>
      <c r="N19" s="23">
        <v>45429</v>
      </c>
      <c r="O19" s="30" t="s">
        <v>25</v>
      </c>
      <c r="R19" s="17"/>
    </row>
    <row r="20" spans="1:19" s="24" customFormat="1" ht="24.95" customHeight="1">
      <c r="A20" s="17">
        <v>18</v>
      </c>
      <c r="B20" s="19" t="s">
        <v>15</v>
      </c>
      <c r="C20" s="18" t="s">
        <v>81</v>
      </c>
      <c r="D20" s="19">
        <v>849.50000000000023</v>
      </c>
      <c r="E20" s="19" t="s">
        <v>15</v>
      </c>
      <c r="F20" s="20" t="s">
        <v>15</v>
      </c>
      <c r="G20" s="17">
        <v>140</v>
      </c>
      <c r="H20" s="17">
        <v>16</v>
      </c>
      <c r="I20" s="22">
        <f>G20/H20</f>
        <v>8.75</v>
      </c>
      <c r="J20" s="17">
        <v>5</v>
      </c>
      <c r="K20" s="19" t="s">
        <v>15</v>
      </c>
      <c r="L20" s="19">
        <v>3621.7000000000003</v>
      </c>
      <c r="M20" s="21">
        <v>663</v>
      </c>
      <c r="N20" s="23">
        <v>45415</v>
      </c>
      <c r="O20" s="30" t="s">
        <v>82</v>
      </c>
      <c r="R20" s="17"/>
    </row>
    <row r="21" spans="1:19" s="24" customFormat="1" ht="24.95" customHeight="1">
      <c r="A21" s="17">
        <v>19</v>
      </c>
      <c r="B21" s="19" t="s">
        <v>15</v>
      </c>
      <c r="C21" s="25" t="s">
        <v>74</v>
      </c>
      <c r="D21" s="19">
        <v>612</v>
      </c>
      <c r="E21" s="19" t="s">
        <v>15</v>
      </c>
      <c r="F21" s="20" t="s">
        <v>15</v>
      </c>
      <c r="G21" s="17">
        <v>147</v>
      </c>
      <c r="H21" s="17">
        <v>1</v>
      </c>
      <c r="I21" s="22">
        <f>G21/H21</f>
        <v>147</v>
      </c>
      <c r="J21" s="17">
        <v>1</v>
      </c>
      <c r="K21" s="19" t="s">
        <v>15</v>
      </c>
      <c r="L21" s="19">
        <v>3176.9</v>
      </c>
      <c r="M21" s="21">
        <v>802</v>
      </c>
      <c r="N21" s="23">
        <v>45387</v>
      </c>
      <c r="O21" s="53" t="s">
        <v>75</v>
      </c>
      <c r="R21" s="17"/>
    </row>
    <row r="22" spans="1:19" s="24" customFormat="1" ht="24.95" customHeight="1">
      <c r="A22" s="17">
        <v>20</v>
      </c>
      <c r="B22" s="19" t="s">
        <v>15</v>
      </c>
      <c r="C22" s="25" t="s">
        <v>77</v>
      </c>
      <c r="D22" s="19">
        <v>442.5</v>
      </c>
      <c r="E22" s="19" t="s">
        <v>15</v>
      </c>
      <c r="F22" s="20" t="s">
        <v>15</v>
      </c>
      <c r="G22" s="17">
        <v>216</v>
      </c>
      <c r="H22" s="17">
        <v>28</v>
      </c>
      <c r="I22" s="22">
        <f>G22/H22</f>
        <v>7.7142857142857144</v>
      </c>
      <c r="J22" s="17">
        <v>4</v>
      </c>
      <c r="K22" s="19" t="s">
        <v>15</v>
      </c>
      <c r="L22" s="19">
        <v>74727.280000000013</v>
      </c>
      <c r="M22" s="21">
        <v>16056</v>
      </c>
      <c r="N22" s="23">
        <v>44981</v>
      </c>
      <c r="O22" s="53" t="s">
        <v>14</v>
      </c>
      <c r="R22" s="17"/>
    </row>
    <row r="23" spans="1:19" s="24" customFormat="1" ht="24.95" customHeight="1">
      <c r="A23" s="17">
        <v>21</v>
      </c>
      <c r="B23" s="19" t="s">
        <v>15</v>
      </c>
      <c r="C23" s="18" t="s">
        <v>83</v>
      </c>
      <c r="D23" s="19">
        <v>394.8900000000001</v>
      </c>
      <c r="E23" s="19" t="s">
        <v>15</v>
      </c>
      <c r="F23" s="20" t="s">
        <v>15</v>
      </c>
      <c r="G23" s="17">
        <v>78</v>
      </c>
      <c r="H23" s="17">
        <v>9</v>
      </c>
      <c r="I23" s="22">
        <f>G23/H23</f>
        <v>8.6666666666666661</v>
      </c>
      <c r="J23" s="17">
        <v>4</v>
      </c>
      <c r="K23" s="19" t="s">
        <v>15</v>
      </c>
      <c r="L23" s="19">
        <v>10149.09</v>
      </c>
      <c r="M23" s="21">
        <v>1711</v>
      </c>
      <c r="N23" s="23">
        <v>45387</v>
      </c>
      <c r="O23" s="30" t="s">
        <v>82</v>
      </c>
      <c r="R23" s="17"/>
    </row>
    <row r="24" spans="1:19" s="24" customFormat="1" ht="24.75" customHeight="1">
      <c r="A24" s="17">
        <v>22</v>
      </c>
      <c r="B24" s="19" t="s">
        <v>15</v>
      </c>
      <c r="C24" s="25" t="s">
        <v>76</v>
      </c>
      <c r="D24" s="19">
        <v>394</v>
      </c>
      <c r="E24" s="19" t="s">
        <v>15</v>
      </c>
      <c r="F24" s="20" t="s">
        <v>15</v>
      </c>
      <c r="G24" s="17">
        <v>189</v>
      </c>
      <c r="H24" s="17">
        <v>28</v>
      </c>
      <c r="I24" s="22">
        <f>G24/H24</f>
        <v>6.75</v>
      </c>
      <c r="J24" s="17">
        <v>4</v>
      </c>
      <c r="K24" s="19" t="s">
        <v>15</v>
      </c>
      <c r="L24" s="19">
        <v>171697.58</v>
      </c>
      <c r="M24" s="21">
        <v>35859</v>
      </c>
      <c r="N24" s="23">
        <v>44925</v>
      </c>
      <c r="O24" s="53" t="s">
        <v>14</v>
      </c>
      <c r="R24" s="17"/>
    </row>
    <row r="25" spans="1:19" s="27" customFormat="1" ht="24.75" customHeight="1">
      <c r="A25" s="17">
        <v>23</v>
      </c>
      <c r="B25" s="17">
        <v>21</v>
      </c>
      <c r="C25" s="25" t="s">
        <v>46</v>
      </c>
      <c r="D25" s="19">
        <v>311</v>
      </c>
      <c r="E25" s="19">
        <v>378</v>
      </c>
      <c r="F25" s="20">
        <f>(D25-E25)/E25</f>
        <v>-0.17724867724867724</v>
      </c>
      <c r="G25" s="17">
        <v>44</v>
      </c>
      <c r="H25" s="17">
        <v>5</v>
      </c>
      <c r="I25" s="22">
        <v>8.8000000000000007</v>
      </c>
      <c r="J25" s="17">
        <v>3</v>
      </c>
      <c r="K25" s="22">
        <v>11</v>
      </c>
      <c r="L25" s="19">
        <v>65607.19</v>
      </c>
      <c r="M25" s="21">
        <v>10065</v>
      </c>
      <c r="N25" s="23">
        <v>45379</v>
      </c>
      <c r="O25" s="53" t="s">
        <v>25</v>
      </c>
      <c r="R25" s="17"/>
      <c r="S25" s="24"/>
    </row>
    <row r="26" spans="1:19" s="27" customFormat="1" ht="24.95" customHeight="1">
      <c r="A26" s="17">
        <v>24</v>
      </c>
      <c r="B26" s="17" t="s">
        <v>17</v>
      </c>
      <c r="C26" s="25" t="s">
        <v>73</v>
      </c>
      <c r="D26" s="19">
        <v>288.60000000000002</v>
      </c>
      <c r="E26" s="19" t="s">
        <v>15</v>
      </c>
      <c r="F26" s="20" t="s">
        <v>15</v>
      </c>
      <c r="G26" s="17">
        <v>80</v>
      </c>
      <c r="H26" s="17">
        <v>18</v>
      </c>
      <c r="I26" s="22">
        <f>G26/H26</f>
        <v>4.4444444444444446</v>
      </c>
      <c r="J26" s="17">
        <v>5</v>
      </c>
      <c r="K26" s="22">
        <v>1</v>
      </c>
      <c r="L26" s="19">
        <v>288.60000000000002</v>
      </c>
      <c r="M26" s="21">
        <v>80</v>
      </c>
      <c r="N26" s="23">
        <v>45443</v>
      </c>
      <c r="O26" s="53" t="s">
        <v>68</v>
      </c>
      <c r="R26" s="17"/>
      <c r="S26" s="24"/>
    </row>
    <row r="27" spans="1:19" s="27" customFormat="1" ht="24.75" customHeight="1">
      <c r="A27" s="17">
        <v>25</v>
      </c>
      <c r="B27" s="8" t="s">
        <v>15</v>
      </c>
      <c r="C27" s="7" t="s">
        <v>87</v>
      </c>
      <c r="D27" s="8">
        <v>278.48</v>
      </c>
      <c r="E27" s="8" t="s">
        <v>15</v>
      </c>
      <c r="F27" s="9" t="s">
        <v>15</v>
      </c>
      <c r="G27" s="6">
        <v>91</v>
      </c>
      <c r="H27" s="11">
        <v>1</v>
      </c>
      <c r="I27" s="11">
        <f>G27/H27</f>
        <v>91</v>
      </c>
      <c r="J27" s="6">
        <v>1</v>
      </c>
      <c r="K27" s="8" t="s">
        <v>15</v>
      </c>
      <c r="L27" s="8">
        <v>236701.65</v>
      </c>
      <c r="M27" s="10">
        <v>51328</v>
      </c>
      <c r="N27" s="12">
        <v>44400</v>
      </c>
      <c r="O27" s="31" t="s">
        <v>18</v>
      </c>
      <c r="R27" s="17"/>
      <c r="S27" s="24"/>
    </row>
    <row r="28" spans="1:19" s="27" customFormat="1" ht="24.75" customHeight="1">
      <c r="A28" s="17">
        <v>26</v>
      </c>
      <c r="B28" s="8" t="s">
        <v>15</v>
      </c>
      <c r="C28" s="7" t="s">
        <v>88</v>
      </c>
      <c r="D28" s="8">
        <v>225</v>
      </c>
      <c r="E28" s="8" t="s">
        <v>15</v>
      </c>
      <c r="F28" s="9" t="s">
        <v>15</v>
      </c>
      <c r="G28" s="6">
        <v>45</v>
      </c>
      <c r="H28" s="11">
        <v>1</v>
      </c>
      <c r="I28" s="11">
        <f>G28/H28</f>
        <v>45</v>
      </c>
      <c r="J28" s="6">
        <v>1</v>
      </c>
      <c r="K28" s="8" t="s">
        <v>15</v>
      </c>
      <c r="L28" s="8">
        <v>4966.3100000000004</v>
      </c>
      <c r="M28" s="10">
        <v>1294</v>
      </c>
      <c r="N28" s="12">
        <v>45275</v>
      </c>
      <c r="O28" s="31" t="s">
        <v>89</v>
      </c>
    </row>
    <row r="29" spans="1:19" ht="24.75" customHeight="1">
      <c r="A29" s="17">
        <v>27</v>
      </c>
      <c r="B29" s="17">
        <v>19</v>
      </c>
      <c r="C29" s="25" t="s">
        <v>44</v>
      </c>
      <c r="D29" s="19">
        <v>202.4</v>
      </c>
      <c r="E29" s="19">
        <v>446</v>
      </c>
      <c r="F29" s="20">
        <f>(D29-E29)/E29</f>
        <v>-0.54618834080717482</v>
      </c>
      <c r="G29" s="17">
        <v>37</v>
      </c>
      <c r="H29" s="22">
        <v>6</v>
      </c>
      <c r="I29" s="22">
        <v>6.166666666666667</v>
      </c>
      <c r="J29" s="17">
        <v>5</v>
      </c>
      <c r="K29" s="22">
        <v>11</v>
      </c>
      <c r="L29" s="19">
        <v>57382.5</v>
      </c>
      <c r="M29" s="21">
        <v>9031</v>
      </c>
      <c r="N29" s="23">
        <v>45379</v>
      </c>
      <c r="O29" s="35" t="s">
        <v>25</v>
      </c>
    </row>
    <row r="30" spans="1:19" ht="24.75" customHeight="1">
      <c r="A30" s="17">
        <v>28</v>
      </c>
      <c r="B30" s="17">
        <v>23</v>
      </c>
      <c r="C30" s="18" t="s">
        <v>48</v>
      </c>
      <c r="D30" s="19">
        <v>84.49</v>
      </c>
      <c r="E30" s="19">
        <v>320</v>
      </c>
      <c r="F30" s="20">
        <f>(D30-E30)/E30</f>
        <v>-0.73596874999999995</v>
      </c>
      <c r="G30" s="21">
        <v>26</v>
      </c>
      <c r="H30" s="22">
        <v>1</v>
      </c>
      <c r="I30" s="22">
        <f>G30/H30</f>
        <v>26</v>
      </c>
      <c r="J30" s="17">
        <v>1</v>
      </c>
      <c r="K30" s="19" t="s">
        <v>15</v>
      </c>
      <c r="L30" s="19">
        <v>191310.96</v>
      </c>
      <c r="M30" s="21">
        <v>47771</v>
      </c>
      <c r="N30" s="23">
        <v>44659</v>
      </c>
      <c r="O30" s="30" t="s">
        <v>11</v>
      </c>
    </row>
    <row r="31" spans="1:19" s="27" customFormat="1" ht="24.75" customHeight="1">
      <c r="A31" s="17">
        <v>29</v>
      </c>
      <c r="B31" s="8" t="s">
        <v>15</v>
      </c>
      <c r="C31" s="7" t="s">
        <v>86</v>
      </c>
      <c r="D31" s="8">
        <v>81</v>
      </c>
      <c r="E31" s="8" t="s">
        <v>15</v>
      </c>
      <c r="F31" s="9" t="s">
        <v>15</v>
      </c>
      <c r="G31" s="6">
        <v>13</v>
      </c>
      <c r="H31" s="11">
        <v>1</v>
      </c>
      <c r="I31" s="11">
        <f>G31/H31</f>
        <v>13</v>
      </c>
      <c r="J31" s="6">
        <v>1</v>
      </c>
      <c r="K31" s="8" t="s">
        <v>15</v>
      </c>
      <c r="L31" s="8">
        <v>362119.55</v>
      </c>
      <c r="M31" s="10">
        <v>51906</v>
      </c>
      <c r="N31" s="12">
        <v>45310</v>
      </c>
      <c r="O31" s="31" t="s">
        <v>18</v>
      </c>
    </row>
    <row r="32" spans="1:19" ht="24.75" customHeight="1">
      <c r="A32" s="17">
        <v>30</v>
      </c>
      <c r="B32" s="8" t="s">
        <v>15</v>
      </c>
      <c r="C32" s="18" t="s">
        <v>80</v>
      </c>
      <c r="D32" s="8">
        <v>70</v>
      </c>
      <c r="E32" s="8" t="s">
        <v>15</v>
      </c>
      <c r="F32" s="9" t="s">
        <v>15</v>
      </c>
      <c r="G32" s="6">
        <v>22</v>
      </c>
      <c r="H32" s="6">
        <v>1</v>
      </c>
      <c r="I32" s="11">
        <f>G32/H32</f>
        <v>22</v>
      </c>
      <c r="J32" s="6">
        <v>1</v>
      </c>
      <c r="K32" s="8" t="s">
        <v>15</v>
      </c>
      <c r="L32" s="8">
        <v>87476.17</v>
      </c>
      <c r="M32" s="10">
        <v>18003</v>
      </c>
      <c r="N32" s="12">
        <v>44855</v>
      </c>
      <c r="O32" s="31" t="s">
        <v>11</v>
      </c>
    </row>
    <row r="33" spans="1:15" ht="24.75" customHeight="1">
      <c r="A33" s="17">
        <v>31</v>
      </c>
      <c r="B33" s="17">
        <v>18</v>
      </c>
      <c r="C33" s="18" t="s">
        <v>43</v>
      </c>
      <c r="D33" s="19">
        <v>45</v>
      </c>
      <c r="E33" s="19">
        <v>476</v>
      </c>
      <c r="F33" s="20">
        <f t="shared" ref="F33:F38" si="2">(D33-E33)/E33</f>
        <v>-0.90546218487394958</v>
      </c>
      <c r="G33" s="21">
        <v>8</v>
      </c>
      <c r="H33" s="22">
        <v>1</v>
      </c>
      <c r="I33" s="22">
        <f>G33/H33</f>
        <v>8</v>
      </c>
      <c r="J33" s="17">
        <v>1</v>
      </c>
      <c r="K33" s="22">
        <v>7</v>
      </c>
      <c r="L33" s="19">
        <v>95032.18</v>
      </c>
      <c r="M33" s="21">
        <v>13051</v>
      </c>
      <c r="N33" s="23">
        <v>45401</v>
      </c>
      <c r="O33" s="30" t="s">
        <v>11</v>
      </c>
    </row>
    <row r="34" spans="1:15" ht="24.75" customHeight="1">
      <c r="A34" s="17">
        <v>32</v>
      </c>
      <c r="B34" s="17">
        <v>26</v>
      </c>
      <c r="C34" s="25" t="s">
        <v>51</v>
      </c>
      <c r="D34" s="19">
        <v>44</v>
      </c>
      <c r="E34" s="19">
        <v>89</v>
      </c>
      <c r="F34" s="20">
        <f t="shared" si="2"/>
        <v>-0.5056179775280899</v>
      </c>
      <c r="G34" s="17">
        <v>8</v>
      </c>
      <c r="H34" s="22">
        <v>1</v>
      </c>
      <c r="I34" s="22">
        <f>G34/H34</f>
        <v>8</v>
      </c>
      <c r="J34" s="17">
        <v>1</v>
      </c>
      <c r="K34" s="22">
        <v>8</v>
      </c>
      <c r="L34" s="19">
        <v>76547.69</v>
      </c>
      <c r="M34" s="21">
        <v>11296</v>
      </c>
      <c r="N34" s="23">
        <v>45394</v>
      </c>
      <c r="O34" s="30" t="s">
        <v>63</v>
      </c>
    </row>
    <row r="35" spans="1:15" ht="24.95" customHeight="1">
      <c r="A35" s="17">
        <v>33</v>
      </c>
      <c r="B35" s="17">
        <v>29</v>
      </c>
      <c r="C35" s="18" t="s">
        <v>54</v>
      </c>
      <c r="D35" s="19">
        <v>38</v>
      </c>
      <c r="E35" s="19">
        <v>53</v>
      </c>
      <c r="F35" s="20">
        <f t="shared" si="2"/>
        <v>-0.28301886792452829</v>
      </c>
      <c r="G35" s="21">
        <v>8</v>
      </c>
      <c r="H35" s="22">
        <v>1</v>
      </c>
      <c r="I35" s="22">
        <v>8</v>
      </c>
      <c r="J35" s="17">
        <v>1</v>
      </c>
      <c r="K35" s="20" t="s">
        <v>15</v>
      </c>
      <c r="L35" s="19">
        <v>20534.2</v>
      </c>
      <c r="M35" s="21">
        <v>2066</v>
      </c>
      <c r="N35" s="23">
        <v>45365</v>
      </c>
      <c r="O35" s="30" t="s">
        <v>25</v>
      </c>
    </row>
    <row r="36" spans="1:15" ht="24.95" customHeight="1">
      <c r="A36" s="17">
        <v>34</v>
      </c>
      <c r="B36" s="17">
        <v>25</v>
      </c>
      <c r="C36" s="18" t="s">
        <v>50</v>
      </c>
      <c r="D36" s="19">
        <v>28</v>
      </c>
      <c r="E36" s="19">
        <v>134</v>
      </c>
      <c r="F36" s="20">
        <f t="shared" si="2"/>
        <v>-0.79104477611940294</v>
      </c>
      <c r="G36" s="21">
        <v>7</v>
      </c>
      <c r="H36" s="22">
        <v>2</v>
      </c>
      <c r="I36" s="22">
        <f>G36/H36</f>
        <v>3.5</v>
      </c>
      <c r="J36" s="17">
        <v>1</v>
      </c>
      <c r="K36" s="22">
        <v>6</v>
      </c>
      <c r="L36" s="19">
        <v>30502.03</v>
      </c>
      <c r="M36" s="21">
        <v>5923</v>
      </c>
      <c r="N36" s="23">
        <v>45408</v>
      </c>
      <c r="O36" s="30" t="s">
        <v>11</v>
      </c>
    </row>
    <row r="37" spans="1:15" ht="24.95" customHeight="1">
      <c r="A37" s="17">
        <v>35</v>
      </c>
      <c r="B37" s="17">
        <v>11</v>
      </c>
      <c r="C37" s="18" t="s">
        <v>36</v>
      </c>
      <c r="D37" s="19">
        <v>23</v>
      </c>
      <c r="E37" s="19">
        <v>1338</v>
      </c>
      <c r="F37" s="20">
        <f t="shared" si="2"/>
        <v>-0.98281016442451419</v>
      </c>
      <c r="G37" s="21">
        <v>5</v>
      </c>
      <c r="H37" s="22" t="s">
        <v>15</v>
      </c>
      <c r="I37" s="22" t="s">
        <v>15</v>
      </c>
      <c r="J37" s="17">
        <v>1</v>
      </c>
      <c r="K37" s="22">
        <v>3</v>
      </c>
      <c r="L37" s="19">
        <v>9103</v>
      </c>
      <c r="M37" s="21">
        <v>1609</v>
      </c>
      <c r="N37" s="23">
        <v>45429</v>
      </c>
      <c r="O37" s="30" t="s">
        <v>13</v>
      </c>
    </row>
    <row r="38" spans="1:15" ht="24.95" customHeight="1">
      <c r="A38" s="17">
        <v>36</v>
      </c>
      <c r="B38" s="17">
        <v>20</v>
      </c>
      <c r="C38" s="18" t="s">
        <v>45</v>
      </c>
      <c r="D38" s="19">
        <v>10</v>
      </c>
      <c r="E38" s="19">
        <v>437</v>
      </c>
      <c r="F38" s="20">
        <f t="shared" si="2"/>
        <v>-0.97711670480549195</v>
      </c>
      <c r="G38" s="21">
        <v>2</v>
      </c>
      <c r="H38" s="22" t="s">
        <v>15</v>
      </c>
      <c r="I38" s="22" t="s">
        <v>15</v>
      </c>
      <c r="J38" s="17">
        <v>1</v>
      </c>
      <c r="K38" s="22" t="s">
        <v>15</v>
      </c>
      <c r="L38" s="19">
        <v>24357</v>
      </c>
      <c r="M38" s="21">
        <v>4950</v>
      </c>
      <c r="N38" s="23">
        <v>45394</v>
      </c>
      <c r="O38" s="30" t="s">
        <v>13</v>
      </c>
    </row>
    <row r="39" spans="1:15" s="44" customFormat="1" ht="24.95" customHeight="1">
      <c r="A39" s="46" t="s">
        <v>26</v>
      </c>
      <c r="B39" s="47"/>
      <c r="C39" s="48" t="s">
        <v>90</v>
      </c>
      <c r="D39" s="49">
        <f>SUBTOTAL(109,Table132[Pajamos 
(GBO)])</f>
        <v>243521.22000000003</v>
      </c>
      <c r="E39" s="49" t="s">
        <v>91</v>
      </c>
      <c r="F39" s="50">
        <f t="shared" ref="F39" si="3">(D39-E39)/E39</f>
        <v>6.5841000008753717E-2</v>
      </c>
      <c r="G39" s="52">
        <f>SUBTOTAL(109,Table132[Žiūrovų sk. 
(ADM)])</f>
        <v>41368</v>
      </c>
      <c r="H39" s="46"/>
      <c r="I39" s="46"/>
      <c r="J39" s="46"/>
      <c r="K39" s="46"/>
      <c r="L39" s="54"/>
      <c r="M39" s="46"/>
      <c r="N39" s="46"/>
      <c r="O39" s="46" t="s">
        <v>26</v>
      </c>
    </row>
    <row r="40" spans="1:15" hidden="1">
      <c r="F40" s="3"/>
      <c r="L40" s="2"/>
    </row>
    <row r="41" spans="1:15" hidden="1">
      <c r="F41" s="3"/>
      <c r="L41" s="2"/>
    </row>
    <row r="42" spans="1:15" hidden="1">
      <c r="F42" s="3"/>
      <c r="L42" s="2"/>
    </row>
    <row r="43" spans="1:15" hidden="1">
      <c r="F43" s="3"/>
      <c r="L43" s="2"/>
    </row>
    <row r="44" spans="1:15" hidden="1">
      <c r="F44" s="3"/>
      <c r="L44" s="2"/>
    </row>
    <row r="45" spans="1:15" hidden="1">
      <c r="F45" s="3"/>
      <c r="L45" s="2"/>
    </row>
    <row r="46" spans="1:15" hidden="1">
      <c r="F46" s="3"/>
      <c r="L46" s="2"/>
    </row>
    <row r="47" spans="1:15" hidden="1">
      <c r="F47" s="3"/>
      <c r="L47" s="2"/>
    </row>
    <row r="48" spans="1:15" hidden="1">
      <c r="F48" s="3"/>
      <c r="L48" s="2"/>
    </row>
    <row r="49" spans="6:12" hidden="1">
      <c r="F49" s="3"/>
      <c r="L49" s="2"/>
    </row>
    <row r="50" spans="6:12" hidden="1">
      <c r="F50" s="3"/>
      <c r="L50" s="2"/>
    </row>
    <row r="51" spans="6:12" hidden="1">
      <c r="F51" s="3"/>
      <c r="L51" s="2"/>
    </row>
    <row r="52" spans="6:12" hidden="1">
      <c r="F52" s="3"/>
      <c r="L52" s="2"/>
    </row>
    <row r="53" spans="6:12" hidden="1">
      <c r="F53" s="3"/>
    </row>
    <row r="54" spans="6:12" hidden="1">
      <c r="F54" s="3"/>
    </row>
    <row r="55" spans="6:12" hidden="1">
      <c r="F55" s="3"/>
    </row>
    <row r="56" spans="6:12" hidden="1">
      <c r="F56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BA373-81AB-43BB-AE96-6182F255C705}">
  <sheetPr codeName="Sheet2">
    <pageSetUpPr fitToPage="1"/>
  </sheetPr>
  <dimension ref="A1:XFC55"/>
  <sheetViews>
    <sheetView topLeftCell="A11" zoomScale="60" zoomScaleNormal="60" workbookViewId="0">
      <selection activeCell="C37" sqref="C37:O37"/>
    </sheetView>
  </sheetViews>
  <sheetFormatPr defaultColWidth="0" defaultRowHeight="11.25" zeroHeight="1"/>
  <cols>
    <col min="1" max="2" width="4.7109375" style="1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3" t="s">
        <v>72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15" t="s">
        <v>4</v>
      </c>
      <c r="I2" s="15" t="s">
        <v>16</v>
      </c>
      <c r="J2" s="15" t="s">
        <v>10</v>
      </c>
      <c r="K2" s="15" t="s">
        <v>5</v>
      </c>
      <c r="L2" s="1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17" t="s">
        <v>17</v>
      </c>
      <c r="C3" s="18" t="s">
        <v>27</v>
      </c>
      <c r="D3" s="19">
        <v>113022</v>
      </c>
      <c r="E3" s="19" t="s">
        <v>15</v>
      </c>
      <c r="F3" s="20" t="s">
        <v>15</v>
      </c>
      <c r="G3" s="21">
        <v>20319</v>
      </c>
      <c r="H3" s="17">
        <v>558</v>
      </c>
      <c r="I3" s="22">
        <f>G3/H3</f>
        <v>36.413978494623656</v>
      </c>
      <c r="J3" s="17">
        <v>20</v>
      </c>
      <c r="K3" s="22">
        <v>1</v>
      </c>
      <c r="L3" s="19">
        <v>125351</v>
      </c>
      <c r="M3" s="21">
        <v>22586</v>
      </c>
      <c r="N3" s="23">
        <v>45436</v>
      </c>
      <c r="O3" s="30" t="s">
        <v>61</v>
      </c>
    </row>
    <row r="4" spans="1:18" s="24" customFormat="1" ht="24.95" customHeight="1">
      <c r="A4" s="17">
        <v>2</v>
      </c>
      <c r="B4" s="17" t="s">
        <v>17</v>
      </c>
      <c r="C4" s="18" t="s">
        <v>28</v>
      </c>
      <c r="D4" s="19">
        <v>39523</v>
      </c>
      <c r="E4" s="19" t="s">
        <v>15</v>
      </c>
      <c r="F4" s="20" t="s">
        <v>15</v>
      </c>
      <c r="G4" s="21">
        <v>5341</v>
      </c>
      <c r="H4" s="22">
        <v>370</v>
      </c>
      <c r="I4" s="22">
        <f t="shared" ref="I4:I37" si="0">G4/H4</f>
        <v>14.435135135135136</v>
      </c>
      <c r="J4" s="17">
        <v>20</v>
      </c>
      <c r="K4" s="22">
        <v>1</v>
      </c>
      <c r="L4" s="19">
        <v>44249</v>
      </c>
      <c r="M4" s="21">
        <v>5941</v>
      </c>
      <c r="N4" s="23">
        <v>45436</v>
      </c>
      <c r="O4" s="30" t="s">
        <v>12</v>
      </c>
    </row>
    <row r="5" spans="1:18" s="24" customFormat="1" ht="24.95" customHeight="1">
      <c r="A5" s="17">
        <v>3</v>
      </c>
      <c r="B5" s="17">
        <v>1</v>
      </c>
      <c r="C5" s="25" t="s">
        <v>113</v>
      </c>
      <c r="D5" s="28">
        <v>12444</v>
      </c>
      <c r="E5" s="19">
        <v>36097</v>
      </c>
      <c r="F5" s="20">
        <f>(D5-E5)/E5</f>
        <v>-0.65526221015596864</v>
      </c>
      <c r="G5" s="29">
        <v>2442</v>
      </c>
      <c r="H5" s="21">
        <v>221</v>
      </c>
      <c r="I5" s="22">
        <f t="shared" si="0"/>
        <v>11.049773755656108</v>
      </c>
      <c r="J5" s="21">
        <v>20</v>
      </c>
      <c r="K5" s="22">
        <v>2</v>
      </c>
      <c r="L5" s="29">
        <v>57267</v>
      </c>
      <c r="M5" s="29">
        <v>10902</v>
      </c>
      <c r="N5" s="23">
        <v>45429</v>
      </c>
      <c r="O5" s="30" t="s">
        <v>62</v>
      </c>
      <c r="R5" s="17"/>
    </row>
    <row r="6" spans="1:18" s="24" customFormat="1" ht="24.95" customHeight="1">
      <c r="A6" s="17">
        <v>4</v>
      </c>
      <c r="B6" s="17" t="s">
        <v>17</v>
      </c>
      <c r="C6" s="18" t="s">
        <v>29</v>
      </c>
      <c r="D6" s="19">
        <v>12063</v>
      </c>
      <c r="E6" s="19" t="s">
        <v>15</v>
      </c>
      <c r="F6" s="19" t="s">
        <v>15</v>
      </c>
      <c r="G6" s="21">
        <v>1797</v>
      </c>
      <c r="H6" s="22">
        <v>150</v>
      </c>
      <c r="I6" s="22">
        <f t="shared" si="0"/>
        <v>11.98</v>
      </c>
      <c r="J6" s="17">
        <v>14</v>
      </c>
      <c r="K6" s="22">
        <v>1</v>
      </c>
      <c r="L6" s="19">
        <v>12377</v>
      </c>
      <c r="M6" s="21">
        <v>1863</v>
      </c>
      <c r="N6" s="23">
        <v>45436</v>
      </c>
      <c r="O6" s="30" t="s">
        <v>11</v>
      </c>
      <c r="R6" s="17"/>
    </row>
    <row r="7" spans="1:18" s="24" customFormat="1" ht="24.95" customHeight="1">
      <c r="A7" s="17">
        <v>5</v>
      </c>
      <c r="B7" s="17">
        <v>2</v>
      </c>
      <c r="C7" s="13" t="s">
        <v>30</v>
      </c>
      <c r="D7" s="32">
        <v>11425</v>
      </c>
      <c r="E7" s="19">
        <v>27295</v>
      </c>
      <c r="F7" s="20">
        <f t="shared" ref="F7:F36" si="1">(D7-E7)/E7</f>
        <v>-0.58142516944495326</v>
      </c>
      <c r="G7" s="33">
        <v>1772</v>
      </c>
      <c r="H7" s="10">
        <v>147</v>
      </c>
      <c r="I7" s="22">
        <f t="shared" si="0"/>
        <v>12.054421768707483</v>
      </c>
      <c r="J7" s="10">
        <v>11</v>
      </c>
      <c r="K7" s="22">
        <v>3</v>
      </c>
      <c r="L7" s="33">
        <v>88207</v>
      </c>
      <c r="M7" s="33">
        <v>12398</v>
      </c>
      <c r="N7" s="12">
        <v>45422</v>
      </c>
      <c r="O7" s="34" t="s">
        <v>18</v>
      </c>
      <c r="R7" s="17"/>
    </row>
    <row r="8" spans="1:18" s="24" customFormat="1" ht="24.95" customHeight="1">
      <c r="A8" s="17">
        <v>6</v>
      </c>
      <c r="B8" s="17">
        <v>3</v>
      </c>
      <c r="C8" s="18" t="s">
        <v>31</v>
      </c>
      <c r="D8" s="19">
        <v>9466</v>
      </c>
      <c r="E8" s="19">
        <v>23621</v>
      </c>
      <c r="F8" s="20">
        <f t="shared" si="1"/>
        <v>-0.59925490030058004</v>
      </c>
      <c r="G8" s="21">
        <v>1445</v>
      </c>
      <c r="H8" s="22">
        <v>96</v>
      </c>
      <c r="I8" s="22">
        <f t="shared" si="0"/>
        <v>15.052083333333334</v>
      </c>
      <c r="J8" s="17">
        <v>10</v>
      </c>
      <c r="K8" s="22">
        <v>3</v>
      </c>
      <c r="L8" s="19">
        <v>66747</v>
      </c>
      <c r="M8" s="21">
        <v>9865</v>
      </c>
      <c r="N8" s="23">
        <v>45422</v>
      </c>
      <c r="O8" s="30" t="s">
        <v>61</v>
      </c>
      <c r="R8" s="17"/>
    </row>
    <row r="9" spans="1:18" s="24" customFormat="1" ht="24.95" customHeight="1">
      <c r="A9" s="17">
        <v>7</v>
      </c>
      <c r="B9" s="17">
        <v>6</v>
      </c>
      <c r="C9" s="18" t="s">
        <v>32</v>
      </c>
      <c r="D9" s="19">
        <v>6889</v>
      </c>
      <c r="E9" s="19">
        <v>11082</v>
      </c>
      <c r="F9" s="20">
        <f t="shared" si="1"/>
        <v>-0.37836130662335321</v>
      </c>
      <c r="G9" s="21">
        <v>1100</v>
      </c>
      <c r="H9" s="22">
        <v>77</v>
      </c>
      <c r="I9" s="22">
        <f t="shared" si="0"/>
        <v>14.285714285714286</v>
      </c>
      <c r="J9" s="17">
        <v>8</v>
      </c>
      <c r="K9" s="22">
        <v>5</v>
      </c>
      <c r="L9" s="19">
        <v>98667</v>
      </c>
      <c r="M9" s="21">
        <v>14091</v>
      </c>
      <c r="N9" s="23">
        <v>45408</v>
      </c>
      <c r="O9" s="30" t="s">
        <v>63</v>
      </c>
      <c r="R9" s="17"/>
    </row>
    <row r="10" spans="1:18" s="24" customFormat="1" ht="24.95" customHeight="1">
      <c r="A10" s="17">
        <v>8</v>
      </c>
      <c r="B10" s="17">
        <v>4</v>
      </c>
      <c r="C10" s="18" t="s">
        <v>33</v>
      </c>
      <c r="D10" s="19">
        <v>6436</v>
      </c>
      <c r="E10" s="19">
        <v>13791</v>
      </c>
      <c r="F10" s="20">
        <f t="shared" si="1"/>
        <v>-0.53331883112174605</v>
      </c>
      <c r="G10" s="21">
        <v>1048</v>
      </c>
      <c r="H10" s="22">
        <v>90</v>
      </c>
      <c r="I10" s="22">
        <f t="shared" si="0"/>
        <v>11.644444444444444</v>
      </c>
      <c r="J10" s="17">
        <v>10</v>
      </c>
      <c r="K10" s="22">
        <v>4</v>
      </c>
      <c r="L10" s="19">
        <v>81526</v>
      </c>
      <c r="M10" s="21">
        <v>11989</v>
      </c>
      <c r="N10" s="23">
        <v>45415</v>
      </c>
      <c r="O10" s="30" t="s">
        <v>12</v>
      </c>
      <c r="R10" s="17"/>
    </row>
    <row r="11" spans="1:18" s="24" customFormat="1" ht="24.95" customHeight="1">
      <c r="A11" s="17">
        <v>9</v>
      </c>
      <c r="B11" s="17" t="s">
        <v>23</v>
      </c>
      <c r="C11" s="18" t="s">
        <v>34</v>
      </c>
      <c r="D11" s="19">
        <v>3972</v>
      </c>
      <c r="E11" s="19" t="s">
        <v>15</v>
      </c>
      <c r="F11" s="19" t="s">
        <v>15</v>
      </c>
      <c r="G11" s="21">
        <v>479</v>
      </c>
      <c r="H11" s="17">
        <v>2</v>
      </c>
      <c r="I11" s="22">
        <f t="shared" si="0"/>
        <v>239.5</v>
      </c>
      <c r="J11" s="17">
        <v>1</v>
      </c>
      <c r="K11" s="22">
        <v>0</v>
      </c>
      <c r="L11" s="19">
        <v>3972</v>
      </c>
      <c r="M11" s="21">
        <v>479</v>
      </c>
      <c r="N11" s="23" t="s">
        <v>24</v>
      </c>
      <c r="O11" s="30" t="s">
        <v>14</v>
      </c>
      <c r="R11" s="17"/>
    </row>
    <row r="12" spans="1:18" s="24" customFormat="1" ht="24.75" customHeight="1">
      <c r="A12" s="17">
        <v>10</v>
      </c>
      <c r="B12" s="17">
        <v>7</v>
      </c>
      <c r="C12" s="18" t="s">
        <v>35</v>
      </c>
      <c r="D12" s="19">
        <v>3255</v>
      </c>
      <c r="E12" s="19">
        <v>9885</v>
      </c>
      <c r="F12" s="20">
        <f t="shared" si="1"/>
        <v>-0.67071320182094085</v>
      </c>
      <c r="G12" s="21">
        <v>597</v>
      </c>
      <c r="H12" s="22">
        <v>130</v>
      </c>
      <c r="I12" s="22">
        <f t="shared" si="0"/>
        <v>4.592307692307692</v>
      </c>
      <c r="J12" s="17">
        <v>9</v>
      </c>
      <c r="K12" s="22">
        <v>12</v>
      </c>
      <c r="L12" s="19">
        <v>860334</v>
      </c>
      <c r="M12" s="21">
        <v>148973</v>
      </c>
      <c r="N12" s="23">
        <v>45359</v>
      </c>
      <c r="O12" s="30" t="s">
        <v>63</v>
      </c>
      <c r="R12" s="17"/>
    </row>
    <row r="13" spans="1:18" s="24" customFormat="1" ht="24.95" customHeight="1">
      <c r="A13" s="17">
        <v>11</v>
      </c>
      <c r="B13" s="17">
        <v>8</v>
      </c>
      <c r="C13" s="18" t="s">
        <v>36</v>
      </c>
      <c r="D13" s="19">
        <v>1338</v>
      </c>
      <c r="E13" s="19">
        <v>7742</v>
      </c>
      <c r="F13" s="20">
        <f t="shared" si="1"/>
        <v>-0.82717644019633174</v>
      </c>
      <c r="G13" s="21">
        <v>240</v>
      </c>
      <c r="H13" s="22" t="s">
        <v>15</v>
      </c>
      <c r="I13" s="22" t="s">
        <v>15</v>
      </c>
      <c r="J13" s="17">
        <v>6</v>
      </c>
      <c r="K13" s="22">
        <v>2</v>
      </c>
      <c r="L13" s="19">
        <v>9080</v>
      </c>
      <c r="M13" s="21">
        <v>1604</v>
      </c>
      <c r="N13" s="23">
        <v>45429</v>
      </c>
      <c r="O13" s="30" t="s">
        <v>13</v>
      </c>
      <c r="R13" s="17"/>
    </row>
    <row r="14" spans="1:18" s="24" customFormat="1" ht="24.95" customHeight="1">
      <c r="A14" s="17">
        <v>12</v>
      </c>
      <c r="B14" s="17">
        <v>9</v>
      </c>
      <c r="C14" s="18" t="s">
        <v>37</v>
      </c>
      <c r="D14" s="19">
        <v>1234</v>
      </c>
      <c r="E14" s="19">
        <v>5706</v>
      </c>
      <c r="F14" s="20">
        <f t="shared" si="1"/>
        <v>-0.78373641780581849</v>
      </c>
      <c r="G14" s="21">
        <v>263</v>
      </c>
      <c r="H14" s="22">
        <v>38</v>
      </c>
      <c r="I14" s="22">
        <f t="shared" si="0"/>
        <v>6.9210526315789478</v>
      </c>
      <c r="J14" s="17">
        <v>7</v>
      </c>
      <c r="K14" s="38">
        <v>6</v>
      </c>
      <c r="L14" s="19">
        <v>96205</v>
      </c>
      <c r="M14" s="21">
        <v>18294</v>
      </c>
      <c r="N14" s="23">
        <v>45401</v>
      </c>
      <c r="O14" s="30" t="s">
        <v>14</v>
      </c>
      <c r="R14" s="17"/>
    </row>
    <row r="15" spans="1:18" s="24" customFormat="1" ht="24.95" customHeight="1">
      <c r="A15" s="17">
        <v>13</v>
      </c>
      <c r="B15" s="17" t="s">
        <v>23</v>
      </c>
      <c r="C15" s="18" t="s">
        <v>38</v>
      </c>
      <c r="D15" s="28">
        <v>1058</v>
      </c>
      <c r="E15" s="19" t="s">
        <v>15</v>
      </c>
      <c r="F15" s="19" t="s">
        <v>15</v>
      </c>
      <c r="G15" s="29">
        <v>159</v>
      </c>
      <c r="H15" s="21">
        <v>3</v>
      </c>
      <c r="I15" s="22">
        <f t="shared" si="0"/>
        <v>53</v>
      </c>
      <c r="J15" s="21">
        <v>3</v>
      </c>
      <c r="K15" s="22">
        <v>0</v>
      </c>
      <c r="L15" s="29">
        <v>1058</v>
      </c>
      <c r="M15" s="29">
        <v>159</v>
      </c>
      <c r="N15" s="23" t="s">
        <v>24</v>
      </c>
      <c r="O15" s="30" t="s">
        <v>64</v>
      </c>
      <c r="R15" s="17"/>
    </row>
    <row r="16" spans="1:18" s="24" customFormat="1" ht="24.95" customHeight="1">
      <c r="A16" s="17">
        <v>14</v>
      </c>
      <c r="B16" s="17">
        <v>23</v>
      </c>
      <c r="C16" s="7" t="s">
        <v>39</v>
      </c>
      <c r="D16" s="8">
        <v>949</v>
      </c>
      <c r="E16" s="19">
        <v>324</v>
      </c>
      <c r="F16" s="20">
        <f t="shared" si="1"/>
        <v>1.9290123456790123</v>
      </c>
      <c r="G16" s="10">
        <v>223</v>
      </c>
      <c r="H16" s="11">
        <v>2</v>
      </c>
      <c r="I16" s="22">
        <f t="shared" si="0"/>
        <v>111.5</v>
      </c>
      <c r="J16" s="6">
        <v>1</v>
      </c>
      <c r="K16" s="38">
        <v>9</v>
      </c>
      <c r="L16" s="8">
        <v>6437</v>
      </c>
      <c r="M16" s="10">
        <v>1489</v>
      </c>
      <c r="N16" s="12">
        <v>45380</v>
      </c>
      <c r="O16" s="31" t="s">
        <v>14</v>
      </c>
      <c r="R16" s="17"/>
    </row>
    <row r="17" spans="1:19" s="24" customFormat="1" ht="24.95" customHeight="1">
      <c r="A17" s="17">
        <v>15</v>
      </c>
      <c r="B17" s="17">
        <v>11</v>
      </c>
      <c r="C17" s="18" t="s">
        <v>40</v>
      </c>
      <c r="D17" s="19">
        <v>790</v>
      </c>
      <c r="E17" s="19">
        <v>3207</v>
      </c>
      <c r="F17" s="20">
        <f t="shared" si="1"/>
        <v>-0.75366386030558152</v>
      </c>
      <c r="G17" s="21">
        <v>128</v>
      </c>
      <c r="H17" s="22">
        <v>33</v>
      </c>
      <c r="I17" s="22">
        <f t="shared" si="0"/>
        <v>3.8787878787878789</v>
      </c>
      <c r="J17" s="17">
        <v>8</v>
      </c>
      <c r="K17" s="39">
        <v>2</v>
      </c>
      <c r="L17" s="19">
        <v>4076</v>
      </c>
      <c r="M17" s="21">
        <v>718</v>
      </c>
      <c r="N17" s="23">
        <v>45429</v>
      </c>
      <c r="O17" s="30" t="s">
        <v>25</v>
      </c>
      <c r="R17" s="17"/>
    </row>
    <row r="18" spans="1:19" s="24" customFormat="1" ht="24.95" customHeight="1">
      <c r="A18" s="17">
        <v>16</v>
      </c>
      <c r="B18" s="17" t="s">
        <v>23</v>
      </c>
      <c r="C18" s="13" t="s">
        <v>41</v>
      </c>
      <c r="D18" s="32">
        <v>742</v>
      </c>
      <c r="E18" s="19" t="s">
        <v>15</v>
      </c>
      <c r="F18" s="19" t="s">
        <v>15</v>
      </c>
      <c r="G18" s="33">
        <v>102</v>
      </c>
      <c r="H18" s="10">
        <v>4</v>
      </c>
      <c r="I18" s="22">
        <f t="shared" si="0"/>
        <v>25.5</v>
      </c>
      <c r="J18" s="10">
        <v>4</v>
      </c>
      <c r="K18" s="22">
        <v>0</v>
      </c>
      <c r="L18" s="33">
        <v>742</v>
      </c>
      <c r="M18" s="33">
        <v>102</v>
      </c>
      <c r="N18" s="12" t="s">
        <v>24</v>
      </c>
      <c r="O18" s="34" t="s">
        <v>19</v>
      </c>
      <c r="R18" s="17"/>
    </row>
    <row r="19" spans="1:19" s="24" customFormat="1" ht="24.95" customHeight="1">
      <c r="A19" s="17">
        <v>17</v>
      </c>
      <c r="B19" s="17">
        <v>12</v>
      </c>
      <c r="C19" s="18" t="s">
        <v>42</v>
      </c>
      <c r="D19" s="19">
        <v>657</v>
      </c>
      <c r="E19" s="19">
        <v>2332</v>
      </c>
      <c r="F19" s="20">
        <f t="shared" si="1"/>
        <v>-0.71826758147512859</v>
      </c>
      <c r="G19" s="21">
        <v>102</v>
      </c>
      <c r="H19" s="22" t="s">
        <v>15</v>
      </c>
      <c r="I19" s="22" t="s">
        <v>15</v>
      </c>
      <c r="J19" s="17">
        <v>15</v>
      </c>
      <c r="K19" s="22">
        <v>6</v>
      </c>
      <c r="L19" s="19">
        <v>78801</v>
      </c>
      <c r="M19" s="21">
        <v>13245</v>
      </c>
      <c r="N19" s="23">
        <v>45394</v>
      </c>
      <c r="O19" s="30" t="s">
        <v>65</v>
      </c>
      <c r="R19" s="17"/>
    </row>
    <row r="20" spans="1:19" s="24" customFormat="1" ht="24.95" customHeight="1">
      <c r="A20" s="17">
        <v>18</v>
      </c>
      <c r="B20" s="17">
        <v>13</v>
      </c>
      <c r="C20" s="18" t="s">
        <v>43</v>
      </c>
      <c r="D20" s="19">
        <v>476</v>
      </c>
      <c r="E20" s="19">
        <v>1651</v>
      </c>
      <c r="F20" s="20">
        <f t="shared" si="1"/>
        <v>-0.71168988491823137</v>
      </c>
      <c r="G20" s="21">
        <v>74</v>
      </c>
      <c r="H20" s="22">
        <v>9</v>
      </c>
      <c r="I20" s="22">
        <f t="shared" si="0"/>
        <v>8.2222222222222214</v>
      </c>
      <c r="J20" s="17">
        <v>2</v>
      </c>
      <c r="K20" s="22">
        <v>6</v>
      </c>
      <c r="L20" s="19">
        <v>94987</v>
      </c>
      <c r="M20" s="21">
        <v>13043</v>
      </c>
      <c r="N20" s="23">
        <v>45401</v>
      </c>
      <c r="O20" s="30" t="s">
        <v>11</v>
      </c>
      <c r="R20" s="17"/>
    </row>
    <row r="21" spans="1:19" s="24" customFormat="1" ht="24.95" customHeight="1">
      <c r="A21" s="17">
        <v>19</v>
      </c>
      <c r="B21" s="17">
        <v>19</v>
      </c>
      <c r="C21" s="25" t="s">
        <v>44</v>
      </c>
      <c r="D21" s="19">
        <v>446</v>
      </c>
      <c r="E21" s="19">
        <v>451</v>
      </c>
      <c r="F21" s="20">
        <f t="shared" si="1"/>
        <v>-1.1086474501108648E-2</v>
      </c>
      <c r="G21" s="17">
        <v>72</v>
      </c>
      <c r="H21" s="22">
        <v>10</v>
      </c>
      <c r="I21" s="22">
        <f t="shared" si="0"/>
        <v>7.2</v>
      </c>
      <c r="J21" s="17">
        <v>5</v>
      </c>
      <c r="K21" s="39">
        <v>10</v>
      </c>
      <c r="L21" s="19">
        <v>57158</v>
      </c>
      <c r="M21" s="21">
        <v>8989</v>
      </c>
      <c r="N21" s="23">
        <v>45379</v>
      </c>
      <c r="O21" s="35" t="s">
        <v>25</v>
      </c>
      <c r="R21" s="17"/>
    </row>
    <row r="22" spans="1:19" s="24" customFormat="1" ht="24.95" customHeight="1">
      <c r="A22" s="17">
        <v>20</v>
      </c>
      <c r="B22" s="17">
        <v>18</v>
      </c>
      <c r="C22" s="18" t="s">
        <v>45</v>
      </c>
      <c r="D22" s="19">
        <v>437</v>
      </c>
      <c r="E22" s="19">
        <v>514</v>
      </c>
      <c r="F22" s="20">
        <f t="shared" si="1"/>
        <v>-0.14980544747081712</v>
      </c>
      <c r="G22" s="21">
        <v>133</v>
      </c>
      <c r="H22" s="22" t="s">
        <v>15</v>
      </c>
      <c r="I22" s="22" t="s">
        <v>15</v>
      </c>
      <c r="J22" s="17">
        <v>3</v>
      </c>
      <c r="K22" s="20" t="s">
        <v>15</v>
      </c>
      <c r="L22" s="19">
        <v>24347</v>
      </c>
      <c r="M22" s="21">
        <v>4948</v>
      </c>
      <c r="N22" s="23">
        <v>45394</v>
      </c>
      <c r="O22" s="30" t="s">
        <v>13</v>
      </c>
      <c r="R22" s="17"/>
    </row>
    <row r="23" spans="1:19" s="24" customFormat="1" ht="24.95" customHeight="1">
      <c r="A23" s="17">
        <v>21</v>
      </c>
      <c r="B23" s="17">
        <v>21</v>
      </c>
      <c r="C23" s="13" t="s">
        <v>46</v>
      </c>
      <c r="D23" s="8">
        <v>378</v>
      </c>
      <c r="E23" s="19">
        <v>371</v>
      </c>
      <c r="F23" s="20">
        <f t="shared" si="1"/>
        <v>1.8867924528301886E-2</v>
      </c>
      <c r="G23" s="6">
        <v>63</v>
      </c>
      <c r="H23" s="6">
        <v>8</v>
      </c>
      <c r="I23" s="22">
        <f t="shared" si="0"/>
        <v>7.875</v>
      </c>
      <c r="J23" s="6">
        <v>3</v>
      </c>
      <c r="K23" s="39">
        <v>10</v>
      </c>
      <c r="L23" s="8">
        <v>65213</v>
      </c>
      <c r="M23" s="10">
        <v>10004</v>
      </c>
      <c r="N23" s="12">
        <v>45379</v>
      </c>
      <c r="O23" s="34" t="s">
        <v>25</v>
      </c>
      <c r="R23" s="17"/>
    </row>
    <row r="24" spans="1:19" s="24" customFormat="1" ht="24.75" customHeight="1">
      <c r="A24" s="17">
        <v>22</v>
      </c>
      <c r="B24" s="17" t="s">
        <v>15</v>
      </c>
      <c r="C24" s="13" t="s">
        <v>47</v>
      </c>
      <c r="D24" s="8">
        <v>364</v>
      </c>
      <c r="E24" s="19" t="s">
        <v>15</v>
      </c>
      <c r="F24" s="19" t="s">
        <v>15</v>
      </c>
      <c r="G24" s="6">
        <v>91</v>
      </c>
      <c r="H24" s="6">
        <v>1</v>
      </c>
      <c r="I24" s="22">
        <f t="shared" si="0"/>
        <v>91</v>
      </c>
      <c r="J24" s="6">
        <v>1</v>
      </c>
      <c r="K24" s="22">
        <v>12</v>
      </c>
      <c r="L24" s="8">
        <v>23091</v>
      </c>
      <c r="M24" s="10">
        <v>3704</v>
      </c>
      <c r="N24" s="12">
        <v>45359</v>
      </c>
      <c r="O24" s="6" t="s">
        <v>66</v>
      </c>
      <c r="R24" s="17"/>
    </row>
    <row r="25" spans="1:19" s="27" customFormat="1" ht="24.75" customHeight="1">
      <c r="A25" s="17">
        <v>23</v>
      </c>
      <c r="B25" s="17">
        <v>27</v>
      </c>
      <c r="C25" s="7" t="s">
        <v>48</v>
      </c>
      <c r="D25" s="8">
        <v>320</v>
      </c>
      <c r="E25" s="19">
        <v>246</v>
      </c>
      <c r="F25" s="20">
        <f t="shared" si="1"/>
        <v>0.30081300813008133</v>
      </c>
      <c r="G25" s="10">
        <v>105</v>
      </c>
      <c r="H25" s="11">
        <v>29</v>
      </c>
      <c r="I25" s="22">
        <f t="shared" si="0"/>
        <v>3.6206896551724137</v>
      </c>
      <c r="J25" s="6">
        <v>5</v>
      </c>
      <c r="K25" s="20" t="s">
        <v>15</v>
      </c>
      <c r="L25" s="8">
        <v>191226</v>
      </c>
      <c r="M25" s="10">
        <v>47745</v>
      </c>
      <c r="N25" s="12">
        <v>44659</v>
      </c>
      <c r="O25" s="31" t="s">
        <v>11</v>
      </c>
      <c r="R25" s="17"/>
      <c r="S25" s="24"/>
    </row>
    <row r="26" spans="1:19" s="27" customFormat="1" ht="24.95" customHeight="1">
      <c r="A26" s="17">
        <v>24</v>
      </c>
      <c r="B26" s="17">
        <v>36</v>
      </c>
      <c r="C26" s="13" t="s">
        <v>49</v>
      </c>
      <c r="D26" s="8">
        <v>183</v>
      </c>
      <c r="E26" s="19">
        <v>46</v>
      </c>
      <c r="F26" s="20">
        <f t="shared" si="1"/>
        <v>2.9782608695652173</v>
      </c>
      <c r="G26" s="6">
        <v>33</v>
      </c>
      <c r="H26" s="6">
        <v>2</v>
      </c>
      <c r="I26" s="22">
        <f t="shared" si="0"/>
        <v>16.5</v>
      </c>
      <c r="J26" s="6">
        <v>1</v>
      </c>
      <c r="K26" s="40">
        <v>10</v>
      </c>
      <c r="L26" s="8">
        <v>37674</v>
      </c>
      <c r="M26" s="10">
        <v>3964</v>
      </c>
      <c r="N26" s="12">
        <v>45379</v>
      </c>
      <c r="O26" s="34" t="s">
        <v>25</v>
      </c>
      <c r="R26" s="17"/>
      <c r="S26" s="24"/>
    </row>
    <row r="27" spans="1:19" s="27" customFormat="1" ht="24.75" customHeight="1">
      <c r="A27" s="17">
        <v>25</v>
      </c>
      <c r="B27" s="17">
        <v>14</v>
      </c>
      <c r="C27" s="18" t="s">
        <v>50</v>
      </c>
      <c r="D27" s="19">
        <v>134</v>
      </c>
      <c r="E27" s="19">
        <v>1251</v>
      </c>
      <c r="F27" s="20">
        <f t="shared" si="1"/>
        <v>-0.89288569144684249</v>
      </c>
      <c r="G27" s="21">
        <v>22</v>
      </c>
      <c r="H27" s="22">
        <v>8</v>
      </c>
      <c r="I27" s="22">
        <f t="shared" si="0"/>
        <v>2.75</v>
      </c>
      <c r="J27" s="17">
        <v>2</v>
      </c>
      <c r="K27" s="22">
        <v>5</v>
      </c>
      <c r="L27" s="19">
        <v>30494</v>
      </c>
      <c r="M27" s="21">
        <v>5916</v>
      </c>
      <c r="N27" s="23">
        <v>45408</v>
      </c>
      <c r="O27" s="30" t="s">
        <v>11</v>
      </c>
      <c r="R27" s="17"/>
      <c r="S27" s="24"/>
    </row>
    <row r="28" spans="1:19" s="27" customFormat="1" ht="24.75" customHeight="1">
      <c r="A28" s="17">
        <v>26</v>
      </c>
      <c r="B28" s="17">
        <v>20</v>
      </c>
      <c r="C28" s="25" t="s">
        <v>51</v>
      </c>
      <c r="D28" s="19">
        <v>89</v>
      </c>
      <c r="E28" s="19">
        <v>450</v>
      </c>
      <c r="F28" s="20">
        <f t="shared" si="1"/>
        <v>-0.80222222222222217</v>
      </c>
      <c r="G28" s="17">
        <v>17</v>
      </c>
      <c r="H28" s="22">
        <v>3</v>
      </c>
      <c r="I28" s="22">
        <f t="shared" si="0"/>
        <v>5.666666666666667</v>
      </c>
      <c r="J28" s="17">
        <v>2</v>
      </c>
      <c r="K28" s="22">
        <v>7</v>
      </c>
      <c r="L28" s="19">
        <v>76504</v>
      </c>
      <c r="M28" s="21">
        <v>11288</v>
      </c>
      <c r="N28" s="23">
        <v>45394</v>
      </c>
      <c r="O28" s="30" t="s">
        <v>63</v>
      </c>
    </row>
    <row r="29" spans="1:19" ht="24.75" customHeight="1">
      <c r="A29" s="17">
        <v>27</v>
      </c>
      <c r="B29" s="17">
        <v>39</v>
      </c>
      <c r="C29" s="13" t="s">
        <v>52</v>
      </c>
      <c r="D29" s="32">
        <v>77</v>
      </c>
      <c r="E29" s="19">
        <v>39</v>
      </c>
      <c r="F29" s="20">
        <f t="shared" si="1"/>
        <v>0.97435897435897434</v>
      </c>
      <c r="G29" s="33">
        <v>17</v>
      </c>
      <c r="H29" s="10">
        <v>2</v>
      </c>
      <c r="I29" s="22">
        <f t="shared" si="0"/>
        <v>8.5</v>
      </c>
      <c r="J29" s="10">
        <v>2</v>
      </c>
      <c r="K29" s="19" t="s">
        <v>15</v>
      </c>
      <c r="L29" s="33">
        <v>1058</v>
      </c>
      <c r="M29" s="33">
        <v>223</v>
      </c>
      <c r="N29" s="12">
        <v>45408</v>
      </c>
      <c r="O29" s="30" t="s">
        <v>18</v>
      </c>
    </row>
    <row r="30" spans="1:19" ht="24.75" customHeight="1">
      <c r="A30" s="17">
        <v>28</v>
      </c>
      <c r="B30" s="17">
        <v>31</v>
      </c>
      <c r="C30" s="13" t="s">
        <v>53</v>
      </c>
      <c r="D30" s="8">
        <v>57</v>
      </c>
      <c r="E30" s="19">
        <v>89</v>
      </c>
      <c r="F30" s="20">
        <f t="shared" si="1"/>
        <v>-0.3595505617977528</v>
      </c>
      <c r="G30" s="6">
        <v>14</v>
      </c>
      <c r="H30" s="6">
        <v>1</v>
      </c>
      <c r="I30" s="22">
        <f t="shared" si="0"/>
        <v>14</v>
      </c>
      <c r="J30" s="6">
        <v>1</v>
      </c>
      <c r="K30" s="22" t="s">
        <v>15</v>
      </c>
      <c r="L30" s="8">
        <v>712</v>
      </c>
      <c r="M30" s="10">
        <v>140</v>
      </c>
      <c r="N30" s="12">
        <v>45401</v>
      </c>
      <c r="O30" s="34" t="s">
        <v>63</v>
      </c>
    </row>
    <row r="31" spans="1:19" ht="24.75" customHeight="1">
      <c r="A31" s="17">
        <v>29</v>
      </c>
      <c r="B31" s="17" t="s">
        <v>15</v>
      </c>
      <c r="C31" s="18" t="s">
        <v>54</v>
      </c>
      <c r="D31" s="19">
        <v>53</v>
      </c>
      <c r="E31" s="19" t="s">
        <v>15</v>
      </c>
      <c r="F31" s="19" t="s">
        <v>15</v>
      </c>
      <c r="G31" s="21">
        <v>10</v>
      </c>
      <c r="H31" s="22">
        <v>1</v>
      </c>
      <c r="I31" s="22">
        <f t="shared" si="0"/>
        <v>10</v>
      </c>
      <c r="J31" s="17">
        <v>1</v>
      </c>
      <c r="K31" s="20" t="s">
        <v>15</v>
      </c>
      <c r="L31" s="19">
        <v>20496</v>
      </c>
      <c r="M31" s="21">
        <v>2058</v>
      </c>
      <c r="N31" s="23">
        <v>45379</v>
      </c>
      <c r="O31" s="30" t="s">
        <v>25</v>
      </c>
    </row>
    <row r="32" spans="1:19" ht="24.75" customHeight="1">
      <c r="A32" s="17">
        <v>30</v>
      </c>
      <c r="B32" s="17" t="s">
        <v>15</v>
      </c>
      <c r="C32" s="18" t="s">
        <v>55</v>
      </c>
      <c r="D32" s="19">
        <v>48</v>
      </c>
      <c r="E32" s="19" t="s">
        <v>15</v>
      </c>
      <c r="F32" s="19" t="s">
        <v>15</v>
      </c>
      <c r="G32" s="21">
        <v>8</v>
      </c>
      <c r="H32" s="22">
        <v>1</v>
      </c>
      <c r="I32" s="22">
        <f t="shared" si="0"/>
        <v>8</v>
      </c>
      <c r="J32" s="17">
        <v>1</v>
      </c>
      <c r="K32" s="22" t="s">
        <v>15</v>
      </c>
      <c r="L32" s="19">
        <v>1100078</v>
      </c>
      <c r="M32" s="21">
        <v>154788</v>
      </c>
      <c r="N32" s="23">
        <v>45128</v>
      </c>
      <c r="O32" s="30" t="s">
        <v>63</v>
      </c>
    </row>
    <row r="33" spans="1:15" ht="24.75" customHeight="1">
      <c r="A33" s="17">
        <v>31</v>
      </c>
      <c r="B33" s="17" t="s">
        <v>15</v>
      </c>
      <c r="C33" s="18" t="s">
        <v>56</v>
      </c>
      <c r="D33" s="19">
        <v>41</v>
      </c>
      <c r="E33" s="19" t="s">
        <v>15</v>
      </c>
      <c r="F33" s="19" t="s">
        <v>15</v>
      </c>
      <c r="G33" s="21">
        <v>8</v>
      </c>
      <c r="H33" s="22">
        <v>1</v>
      </c>
      <c r="I33" s="22">
        <f t="shared" si="0"/>
        <v>8</v>
      </c>
      <c r="J33" s="17">
        <v>1</v>
      </c>
      <c r="K33" s="41" t="s">
        <v>15</v>
      </c>
      <c r="L33" s="19">
        <v>2982</v>
      </c>
      <c r="M33" s="21">
        <v>510</v>
      </c>
      <c r="N33" s="23">
        <v>45365</v>
      </c>
      <c r="O33" s="30" t="s">
        <v>25</v>
      </c>
    </row>
    <row r="34" spans="1:15" ht="24.75" customHeight="1">
      <c r="A34" s="17">
        <v>32</v>
      </c>
      <c r="B34" s="17" t="s">
        <v>15</v>
      </c>
      <c r="C34" s="18" t="s">
        <v>57</v>
      </c>
      <c r="D34" s="19">
        <v>32</v>
      </c>
      <c r="E34" s="19" t="s">
        <v>15</v>
      </c>
      <c r="F34" s="19" t="s">
        <v>15</v>
      </c>
      <c r="G34" s="21">
        <v>4</v>
      </c>
      <c r="H34" s="22" t="s">
        <v>15</v>
      </c>
      <c r="I34" s="22" t="s">
        <v>15</v>
      </c>
      <c r="J34" s="17">
        <v>1</v>
      </c>
      <c r="K34" s="22">
        <v>8</v>
      </c>
      <c r="L34" s="19">
        <v>5711</v>
      </c>
      <c r="M34" s="21">
        <v>1097</v>
      </c>
      <c r="N34" s="23">
        <v>45387</v>
      </c>
      <c r="O34" s="30" t="s">
        <v>13</v>
      </c>
    </row>
    <row r="35" spans="1:15" ht="24.95" customHeight="1">
      <c r="A35" s="17">
        <v>33</v>
      </c>
      <c r="B35" s="17" t="s">
        <v>15</v>
      </c>
      <c r="C35" s="13" t="s">
        <v>58</v>
      </c>
      <c r="D35" s="8">
        <v>22</v>
      </c>
      <c r="E35" s="19" t="s">
        <v>15</v>
      </c>
      <c r="F35" s="19" t="s">
        <v>15</v>
      </c>
      <c r="G35" s="6">
        <v>10</v>
      </c>
      <c r="H35" s="6">
        <v>1</v>
      </c>
      <c r="I35" s="22">
        <f t="shared" si="0"/>
        <v>10</v>
      </c>
      <c r="J35" s="6">
        <v>1</v>
      </c>
      <c r="K35" s="22">
        <v>6</v>
      </c>
      <c r="L35" s="8">
        <v>944</v>
      </c>
      <c r="M35" s="10">
        <v>166</v>
      </c>
      <c r="N35" s="12">
        <v>45387</v>
      </c>
      <c r="O35" s="34" t="s">
        <v>67</v>
      </c>
    </row>
    <row r="36" spans="1:15" ht="24.95" customHeight="1">
      <c r="A36" s="17">
        <v>34</v>
      </c>
      <c r="B36" s="17">
        <v>35</v>
      </c>
      <c r="C36" s="13" t="s">
        <v>59</v>
      </c>
      <c r="D36" s="8">
        <v>12</v>
      </c>
      <c r="E36" s="19">
        <v>48</v>
      </c>
      <c r="F36" s="20">
        <f t="shared" si="1"/>
        <v>-0.75</v>
      </c>
      <c r="G36" s="6">
        <v>2</v>
      </c>
      <c r="H36" s="6">
        <v>1</v>
      </c>
      <c r="I36" s="22">
        <f t="shared" si="0"/>
        <v>2</v>
      </c>
      <c r="J36" s="6">
        <v>1</v>
      </c>
      <c r="K36" s="42" t="s">
        <v>15</v>
      </c>
      <c r="L36" s="8">
        <v>3537</v>
      </c>
      <c r="M36" s="10">
        <v>599</v>
      </c>
      <c r="N36" s="12">
        <v>45379</v>
      </c>
      <c r="O36" s="34" t="s">
        <v>25</v>
      </c>
    </row>
    <row r="37" spans="1:15" ht="24.95" customHeight="1">
      <c r="A37" s="17">
        <v>35</v>
      </c>
      <c r="B37" s="17" t="s">
        <v>15</v>
      </c>
      <c r="C37" s="13" t="s">
        <v>60</v>
      </c>
      <c r="D37" s="8">
        <v>46</v>
      </c>
      <c r="E37" s="19" t="s">
        <v>15</v>
      </c>
      <c r="F37" s="19" t="s">
        <v>15</v>
      </c>
      <c r="G37" s="6">
        <v>9</v>
      </c>
      <c r="H37" s="6">
        <v>1</v>
      </c>
      <c r="I37" s="22">
        <f t="shared" si="0"/>
        <v>9</v>
      </c>
      <c r="J37" s="6">
        <v>1</v>
      </c>
      <c r="K37" s="41" t="s">
        <v>15</v>
      </c>
      <c r="L37" s="8">
        <v>11633</v>
      </c>
      <c r="M37" s="10">
        <v>1802</v>
      </c>
      <c r="N37" s="12">
        <v>45345</v>
      </c>
      <c r="O37" s="34" t="s">
        <v>68</v>
      </c>
    </row>
    <row r="38" spans="1:15" s="44" customFormat="1" ht="24.95" customHeight="1">
      <c r="A38" s="46" t="s">
        <v>26</v>
      </c>
      <c r="B38" s="47"/>
      <c r="C38" s="48" t="s">
        <v>69</v>
      </c>
      <c r="D38" s="49">
        <f>SUBTOTAL(109,Table13[Pajamos 
(GBO)])</f>
        <v>228478</v>
      </c>
      <c r="E38" s="49" t="s">
        <v>70</v>
      </c>
      <c r="F38" s="50">
        <f>(D38-E38)/E38</f>
        <v>0.36771405139747743</v>
      </c>
      <c r="G38" s="51">
        <f>SUBTOTAL(109,Table13[Žiūrovų sk. 
(ADM)])</f>
        <v>38249</v>
      </c>
      <c r="H38" s="46"/>
      <c r="I38" s="46"/>
      <c r="J38" s="46"/>
      <c r="K38" s="46"/>
      <c r="L38" s="46"/>
      <c r="M38" s="46"/>
      <c r="N38" s="46"/>
      <c r="O38" s="46" t="s">
        <v>26</v>
      </c>
    </row>
    <row r="39" spans="1:15" hidden="1">
      <c r="F39" s="3"/>
      <c r="L39" s="2"/>
    </row>
    <row r="40" spans="1:15" hidden="1">
      <c r="F40" s="3"/>
      <c r="L40" s="2"/>
    </row>
    <row r="41" spans="1:15" hidden="1">
      <c r="F41" s="3"/>
      <c r="L41" s="2"/>
    </row>
    <row r="42" spans="1:15" hidden="1">
      <c r="F42" s="3"/>
      <c r="L42" s="2"/>
    </row>
    <row r="43" spans="1:15" hidden="1">
      <c r="F43" s="3"/>
      <c r="L43" s="2"/>
    </row>
    <row r="44" spans="1:15" hidden="1">
      <c r="F44" s="3"/>
      <c r="L44" s="2"/>
    </row>
    <row r="45" spans="1:15" hidden="1">
      <c r="F45" s="3"/>
      <c r="L45" s="2"/>
    </row>
    <row r="46" spans="1:15" hidden="1">
      <c r="F46" s="3"/>
      <c r="L46" s="2"/>
    </row>
    <row r="47" spans="1:15" hidden="1">
      <c r="F47" s="3"/>
      <c r="L47" s="2"/>
    </row>
    <row r="48" spans="1:15" hidden="1">
      <c r="F48" s="3"/>
      <c r="L48" s="2"/>
    </row>
    <row r="49" spans="6:12" hidden="1">
      <c r="F49" s="3"/>
      <c r="L49" s="2"/>
    </row>
    <row r="50" spans="6:12" hidden="1">
      <c r="F50" s="3"/>
      <c r="L50" s="2"/>
    </row>
    <row r="51" spans="6:12" hidden="1">
      <c r="F51" s="3"/>
      <c r="L51" s="2"/>
    </row>
    <row r="52" spans="6:12" hidden="1">
      <c r="F52" s="3"/>
    </row>
    <row r="53" spans="6:12" hidden="1">
      <c r="F53" s="3"/>
    </row>
    <row r="54" spans="6:12" hidden="1">
      <c r="F54" s="3"/>
    </row>
    <row r="55" spans="6:12" hidden="1">
      <c r="F55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05813-AEA7-4FC1-A7C7-7F5AD9873656}">
  <dimension ref="A1:R42"/>
  <sheetViews>
    <sheetView topLeftCell="A22" zoomScale="60" zoomScaleNormal="60" workbookViewId="0">
      <selection activeCell="C35" sqref="C35"/>
    </sheetView>
  </sheetViews>
  <sheetFormatPr defaultColWidth="0" defaultRowHeight="0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3" t="s">
        <v>345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21" t="s">
        <v>17</v>
      </c>
      <c r="C3" s="25" t="s">
        <v>340</v>
      </c>
      <c r="D3" s="19">
        <v>249589.24</v>
      </c>
      <c r="E3" s="20" t="s">
        <v>15</v>
      </c>
      <c r="F3" s="20" t="s">
        <v>15</v>
      </c>
      <c r="G3" s="21">
        <v>29550</v>
      </c>
      <c r="H3" s="21">
        <v>429</v>
      </c>
      <c r="I3" s="22">
        <f>G3/H3</f>
        <v>68.88111888111888</v>
      </c>
      <c r="J3" s="22">
        <v>21</v>
      </c>
      <c r="K3" s="21">
        <v>1</v>
      </c>
      <c r="L3" s="19">
        <v>266405.14</v>
      </c>
      <c r="M3" s="21">
        <v>31669</v>
      </c>
      <c r="N3" s="23">
        <v>45611</v>
      </c>
      <c r="O3" s="30" t="s">
        <v>259</v>
      </c>
    </row>
    <row r="4" spans="1:15" s="69" customFormat="1" ht="24.95" customHeight="1">
      <c r="A4" s="6">
        <v>2</v>
      </c>
      <c r="B4" s="21">
        <v>1</v>
      </c>
      <c r="C4" s="13" t="s">
        <v>328</v>
      </c>
      <c r="D4" s="8">
        <v>109565</v>
      </c>
      <c r="E4" s="19">
        <v>145597</v>
      </c>
      <c r="F4" s="20">
        <f>(D4-E4)/E4</f>
        <v>-0.24747762659944916</v>
      </c>
      <c r="G4" s="10">
        <v>15160</v>
      </c>
      <c r="H4" s="20" t="s">
        <v>15</v>
      </c>
      <c r="I4" s="20" t="s">
        <v>15</v>
      </c>
      <c r="J4" s="20" t="s">
        <v>15</v>
      </c>
      <c r="K4" s="11">
        <v>3</v>
      </c>
      <c r="L4" s="19">
        <v>401137</v>
      </c>
      <c r="M4" s="21">
        <v>56577</v>
      </c>
      <c r="N4" s="23">
        <v>45597</v>
      </c>
      <c r="O4" s="31" t="s">
        <v>329</v>
      </c>
    </row>
    <row r="5" spans="1:15" s="69" customFormat="1" ht="24.95" customHeight="1">
      <c r="A5" s="17">
        <v>3</v>
      </c>
      <c r="B5" s="21">
        <v>3</v>
      </c>
      <c r="C5" s="18" t="s">
        <v>310</v>
      </c>
      <c r="D5" s="28">
        <v>38293.39</v>
      </c>
      <c r="E5" s="19">
        <v>42963.3</v>
      </c>
      <c r="F5" s="20">
        <f>(D5-E5)/E5</f>
        <v>-0.10869532833837259</v>
      </c>
      <c r="G5" s="29">
        <v>6768</v>
      </c>
      <c r="H5" s="21">
        <v>228</v>
      </c>
      <c r="I5" s="22">
        <f>G5/H5</f>
        <v>29.684210526315791</v>
      </c>
      <c r="J5" s="22">
        <v>17</v>
      </c>
      <c r="K5" s="21">
        <v>4</v>
      </c>
      <c r="L5" s="28">
        <v>237580.11</v>
      </c>
      <c r="M5" s="29">
        <v>43022</v>
      </c>
      <c r="N5" s="23">
        <v>45590</v>
      </c>
      <c r="O5" s="30" t="s">
        <v>63</v>
      </c>
    </row>
    <row r="6" spans="1:15" s="69" customFormat="1" ht="24.95" customHeight="1">
      <c r="A6" s="6">
        <v>4</v>
      </c>
      <c r="B6" s="21">
        <v>4</v>
      </c>
      <c r="C6" s="25" t="s">
        <v>333</v>
      </c>
      <c r="D6" s="19">
        <v>36738.06</v>
      </c>
      <c r="E6" s="19">
        <v>38669.96</v>
      </c>
      <c r="F6" s="20">
        <f>(D6-E6)/E6</f>
        <v>-4.9958675933463634E-2</v>
      </c>
      <c r="G6" s="21">
        <v>5312</v>
      </c>
      <c r="H6" s="21">
        <v>173</v>
      </c>
      <c r="I6" s="22">
        <f>G6/H6</f>
        <v>30.705202312138727</v>
      </c>
      <c r="J6" s="22">
        <v>12</v>
      </c>
      <c r="K6" s="21">
        <v>2</v>
      </c>
      <c r="L6" s="19">
        <v>76476</v>
      </c>
      <c r="M6" s="21">
        <v>11325</v>
      </c>
      <c r="N6" s="23">
        <v>45604</v>
      </c>
      <c r="O6" s="30" t="s">
        <v>12</v>
      </c>
    </row>
    <row r="7" spans="1:15" s="69" customFormat="1" ht="24.95" customHeight="1">
      <c r="A7" s="17">
        <v>5</v>
      </c>
      <c r="B7" s="21">
        <v>2</v>
      </c>
      <c r="C7" s="18" t="s">
        <v>305</v>
      </c>
      <c r="D7" s="28">
        <v>28965.64</v>
      </c>
      <c r="E7" s="19">
        <v>69161.100000000006</v>
      </c>
      <c r="F7" s="20">
        <f>(D7-E7)/E7</f>
        <v>-0.58118595568896392</v>
      </c>
      <c r="G7" s="29">
        <v>4001</v>
      </c>
      <c r="H7" s="21">
        <v>137</v>
      </c>
      <c r="I7" s="22">
        <f>G7/H7</f>
        <v>29.204379562043794</v>
      </c>
      <c r="J7" s="22">
        <v>10</v>
      </c>
      <c r="K7" s="21">
        <v>4</v>
      </c>
      <c r="L7" s="28">
        <v>415836.5</v>
      </c>
      <c r="M7" s="29">
        <v>52861</v>
      </c>
      <c r="N7" s="23">
        <v>45590</v>
      </c>
      <c r="O7" s="30" t="s">
        <v>61</v>
      </c>
    </row>
    <row r="8" spans="1:15" s="69" customFormat="1" ht="24.95" customHeight="1">
      <c r="A8" s="6">
        <v>6</v>
      </c>
      <c r="B8" s="21">
        <v>5</v>
      </c>
      <c r="C8" s="25" t="s">
        <v>343</v>
      </c>
      <c r="D8" s="19">
        <v>25509</v>
      </c>
      <c r="E8" s="28">
        <v>26731</v>
      </c>
      <c r="F8" s="20">
        <f>(D8-E8)/E8</f>
        <v>-4.5714713254274064E-2</v>
      </c>
      <c r="G8" s="21">
        <v>4766</v>
      </c>
      <c r="H8" s="22" t="s">
        <v>15</v>
      </c>
      <c r="I8" s="22" t="s">
        <v>15</v>
      </c>
      <c r="J8" s="22">
        <v>16</v>
      </c>
      <c r="K8" s="21">
        <v>2</v>
      </c>
      <c r="L8" s="19">
        <v>52239</v>
      </c>
      <c r="M8" s="21">
        <v>9858</v>
      </c>
      <c r="N8" s="23">
        <v>45604</v>
      </c>
      <c r="O8" s="30" t="s">
        <v>13</v>
      </c>
    </row>
    <row r="9" spans="1:15" s="69" customFormat="1" ht="24.95" customHeight="1">
      <c r="A9" s="17">
        <v>7</v>
      </c>
      <c r="B9" s="21" t="s">
        <v>17</v>
      </c>
      <c r="C9" s="18" t="s">
        <v>337</v>
      </c>
      <c r="D9" s="28">
        <v>14808.55</v>
      </c>
      <c r="E9" s="20" t="s">
        <v>15</v>
      </c>
      <c r="F9" s="20" t="s">
        <v>15</v>
      </c>
      <c r="G9" s="29">
        <v>2690</v>
      </c>
      <c r="H9" s="21">
        <v>144</v>
      </c>
      <c r="I9" s="22">
        <f>G9/H9</f>
        <v>18.680555555555557</v>
      </c>
      <c r="J9" s="22">
        <v>18</v>
      </c>
      <c r="K9" s="21">
        <v>1</v>
      </c>
      <c r="L9" s="28">
        <v>15281.75</v>
      </c>
      <c r="M9" s="29">
        <v>2770</v>
      </c>
      <c r="N9" s="23">
        <v>45611</v>
      </c>
      <c r="O9" s="30" t="s">
        <v>11</v>
      </c>
    </row>
    <row r="10" spans="1:15" s="69" customFormat="1" ht="24.95" customHeight="1">
      <c r="A10" s="6">
        <v>8</v>
      </c>
      <c r="B10" s="21" t="s">
        <v>17</v>
      </c>
      <c r="C10" s="25" t="s">
        <v>352</v>
      </c>
      <c r="D10" s="19">
        <v>9177.09</v>
      </c>
      <c r="E10" s="28" t="s">
        <v>15</v>
      </c>
      <c r="F10" s="20" t="s">
        <v>15</v>
      </c>
      <c r="G10" s="21">
        <v>1250</v>
      </c>
      <c r="H10" s="21">
        <v>54</v>
      </c>
      <c r="I10" s="22">
        <v>37.19047619047619</v>
      </c>
      <c r="J10" s="22">
        <v>10</v>
      </c>
      <c r="K10" s="21">
        <v>1</v>
      </c>
      <c r="L10" s="19">
        <v>9177.09</v>
      </c>
      <c r="M10" s="21">
        <v>1250</v>
      </c>
      <c r="N10" s="23">
        <v>45611</v>
      </c>
      <c r="O10" s="30" t="s">
        <v>82</v>
      </c>
    </row>
    <row r="11" spans="1:15" s="69" customFormat="1" ht="24.95" customHeight="1">
      <c r="A11" s="17">
        <v>9</v>
      </c>
      <c r="B11" s="21">
        <v>11</v>
      </c>
      <c r="C11" s="25" t="s">
        <v>261</v>
      </c>
      <c r="D11" s="19">
        <v>9053.94</v>
      </c>
      <c r="E11" s="19">
        <v>12443.15</v>
      </c>
      <c r="F11" s="20">
        <f t="shared" ref="F11:F18" si="0">(D11-E11)/E11</f>
        <v>-0.27237556406536922</v>
      </c>
      <c r="G11" s="21">
        <v>1561</v>
      </c>
      <c r="H11" s="21">
        <v>66</v>
      </c>
      <c r="I11" s="22">
        <f t="shared" ref="I11:I25" si="1">G11/H11</f>
        <v>23.651515151515152</v>
      </c>
      <c r="J11" s="22">
        <v>6</v>
      </c>
      <c r="K11" s="22">
        <v>8</v>
      </c>
      <c r="L11" s="19">
        <v>273195.92</v>
      </c>
      <c r="M11" s="21">
        <v>50022</v>
      </c>
      <c r="N11" s="23">
        <v>45562</v>
      </c>
      <c r="O11" s="53" t="s">
        <v>11</v>
      </c>
    </row>
    <row r="12" spans="1:15" s="69" customFormat="1" ht="24.95" customHeight="1">
      <c r="A12" s="6">
        <v>10</v>
      </c>
      <c r="B12" s="21">
        <v>8</v>
      </c>
      <c r="C12" s="18" t="s">
        <v>309</v>
      </c>
      <c r="D12" s="28">
        <v>7234.01</v>
      </c>
      <c r="E12" s="19">
        <v>16564.990000000002</v>
      </c>
      <c r="F12" s="20">
        <f t="shared" si="0"/>
        <v>-0.56329523893464473</v>
      </c>
      <c r="G12" s="29">
        <v>1031</v>
      </c>
      <c r="H12" s="21">
        <v>43</v>
      </c>
      <c r="I12" s="22">
        <f t="shared" si="1"/>
        <v>23.976744186046513</v>
      </c>
      <c r="J12" s="22">
        <v>9</v>
      </c>
      <c r="K12" s="21">
        <v>4</v>
      </c>
      <c r="L12" s="28">
        <v>86233.12</v>
      </c>
      <c r="M12" s="29">
        <v>12676</v>
      </c>
      <c r="N12" s="23">
        <v>45590</v>
      </c>
      <c r="O12" s="30" t="s">
        <v>14</v>
      </c>
    </row>
    <row r="13" spans="1:15" s="69" customFormat="1" ht="24.95" customHeight="1">
      <c r="A13" s="17">
        <v>11</v>
      </c>
      <c r="B13" s="21">
        <v>6</v>
      </c>
      <c r="C13" s="18" t="s">
        <v>316</v>
      </c>
      <c r="D13" s="28">
        <v>6332.7</v>
      </c>
      <c r="E13" s="19">
        <v>19476.23</v>
      </c>
      <c r="F13" s="20">
        <f t="shared" si="0"/>
        <v>-0.67484980409452955</v>
      </c>
      <c r="G13" s="29">
        <v>939</v>
      </c>
      <c r="H13" s="21">
        <v>49</v>
      </c>
      <c r="I13" s="22">
        <f t="shared" si="1"/>
        <v>19.163265306122447</v>
      </c>
      <c r="J13" s="22">
        <v>11</v>
      </c>
      <c r="K13" s="21">
        <v>3</v>
      </c>
      <c r="L13" s="28">
        <v>53742.36</v>
      </c>
      <c r="M13" s="29">
        <v>7935</v>
      </c>
      <c r="N13" s="23">
        <v>45597</v>
      </c>
      <c r="O13" s="30" t="s">
        <v>11</v>
      </c>
    </row>
    <row r="14" spans="1:15" s="69" customFormat="1" ht="24.95" customHeight="1">
      <c r="A14" s="6">
        <v>12</v>
      </c>
      <c r="B14" s="21">
        <v>9</v>
      </c>
      <c r="C14" s="18" t="s">
        <v>315</v>
      </c>
      <c r="D14" s="28">
        <v>2773.8</v>
      </c>
      <c r="E14" s="28">
        <v>14782.83</v>
      </c>
      <c r="F14" s="20">
        <f t="shared" si="0"/>
        <v>-0.81236339726561146</v>
      </c>
      <c r="G14" s="29">
        <v>385</v>
      </c>
      <c r="H14" s="21">
        <v>25</v>
      </c>
      <c r="I14" s="22">
        <f t="shared" si="1"/>
        <v>15.4</v>
      </c>
      <c r="J14" s="22">
        <v>5</v>
      </c>
      <c r="K14" s="21">
        <v>2</v>
      </c>
      <c r="L14" s="28">
        <v>24158.35</v>
      </c>
      <c r="M14" s="29">
        <v>3430</v>
      </c>
      <c r="N14" s="23">
        <v>45604</v>
      </c>
      <c r="O14" s="30" t="s">
        <v>11</v>
      </c>
    </row>
    <row r="15" spans="1:15" s="69" customFormat="1" ht="24.95" customHeight="1">
      <c r="A15" s="17">
        <v>13</v>
      </c>
      <c r="B15" s="21">
        <v>12</v>
      </c>
      <c r="C15" s="25" t="s">
        <v>268</v>
      </c>
      <c r="D15" s="19">
        <v>2196.02</v>
      </c>
      <c r="E15" s="19">
        <v>6139.95</v>
      </c>
      <c r="F15" s="20">
        <f t="shared" si="0"/>
        <v>-0.64233910699598529</v>
      </c>
      <c r="G15" s="21">
        <v>330</v>
      </c>
      <c r="H15" s="21">
        <v>14</v>
      </c>
      <c r="I15" s="22">
        <f t="shared" si="1"/>
        <v>23.571428571428573</v>
      </c>
      <c r="J15" s="22">
        <v>5</v>
      </c>
      <c r="K15" s="22">
        <v>8</v>
      </c>
      <c r="L15" s="19">
        <v>124552.06000000003</v>
      </c>
      <c r="M15" s="21">
        <v>18454</v>
      </c>
      <c r="N15" s="23">
        <v>45562</v>
      </c>
      <c r="O15" s="53" t="s">
        <v>14</v>
      </c>
    </row>
    <row r="16" spans="1:15" s="69" customFormat="1" ht="24.95" customHeight="1">
      <c r="A16" s="6">
        <v>14</v>
      </c>
      <c r="B16" s="21">
        <v>10</v>
      </c>
      <c r="C16" s="18" t="s">
        <v>292</v>
      </c>
      <c r="D16" s="28">
        <v>1953.5</v>
      </c>
      <c r="E16" s="19">
        <v>12900.42</v>
      </c>
      <c r="F16" s="20">
        <f t="shared" si="0"/>
        <v>-0.84857082172518417</v>
      </c>
      <c r="G16" s="29">
        <v>285</v>
      </c>
      <c r="H16" s="21">
        <v>9</v>
      </c>
      <c r="I16" s="22">
        <f t="shared" si="1"/>
        <v>31.666666666666668</v>
      </c>
      <c r="J16" s="22">
        <v>3</v>
      </c>
      <c r="K16" s="21">
        <v>5</v>
      </c>
      <c r="L16" s="28">
        <v>168555.17</v>
      </c>
      <c r="M16" s="29">
        <v>23028</v>
      </c>
      <c r="N16" s="23">
        <v>45583</v>
      </c>
      <c r="O16" s="30" t="s">
        <v>259</v>
      </c>
    </row>
    <row r="17" spans="1:18" s="69" customFormat="1" ht="24.95" customHeight="1">
      <c r="A17" s="17">
        <v>15</v>
      </c>
      <c r="B17" s="21">
        <v>18</v>
      </c>
      <c r="C17" s="18" t="s">
        <v>240</v>
      </c>
      <c r="D17" s="28">
        <v>1804.8</v>
      </c>
      <c r="E17" s="28">
        <v>1433</v>
      </c>
      <c r="F17" s="20">
        <f t="shared" si="0"/>
        <v>0.25945568736915559</v>
      </c>
      <c r="G17" s="29">
        <v>278</v>
      </c>
      <c r="H17" s="21">
        <v>11</v>
      </c>
      <c r="I17" s="22">
        <f t="shared" si="1"/>
        <v>25.272727272727273</v>
      </c>
      <c r="J17" s="22">
        <v>2</v>
      </c>
      <c r="K17" s="21">
        <v>10</v>
      </c>
      <c r="L17" s="28">
        <v>115632.33</v>
      </c>
      <c r="M17" s="29">
        <v>17404</v>
      </c>
      <c r="N17" s="23">
        <v>45548</v>
      </c>
      <c r="O17" s="30" t="s">
        <v>11</v>
      </c>
    </row>
    <row r="18" spans="1:18" s="69" customFormat="1" ht="24.95" customHeight="1">
      <c r="A18" s="6">
        <v>16</v>
      </c>
      <c r="B18" s="21">
        <v>16</v>
      </c>
      <c r="C18" s="18" t="s">
        <v>300</v>
      </c>
      <c r="D18" s="28">
        <v>1066.5</v>
      </c>
      <c r="E18" s="28">
        <v>2191.5</v>
      </c>
      <c r="F18" s="20">
        <f t="shared" si="0"/>
        <v>-0.51334702258726894</v>
      </c>
      <c r="G18" s="29">
        <v>177</v>
      </c>
      <c r="H18" s="21">
        <v>13</v>
      </c>
      <c r="I18" s="22">
        <f t="shared" si="1"/>
        <v>13.615384615384615</v>
      </c>
      <c r="J18" s="22">
        <v>3</v>
      </c>
      <c r="K18" s="21">
        <v>5</v>
      </c>
      <c r="L18" s="28">
        <v>30938.27</v>
      </c>
      <c r="M18" s="29">
        <v>4767</v>
      </c>
      <c r="N18" s="23">
        <v>45583</v>
      </c>
      <c r="O18" s="30" t="s">
        <v>251</v>
      </c>
    </row>
    <row r="19" spans="1:18" s="69" customFormat="1" ht="24.95" customHeight="1">
      <c r="A19" s="17">
        <v>17</v>
      </c>
      <c r="B19" s="21" t="s">
        <v>23</v>
      </c>
      <c r="C19" s="18" t="s">
        <v>351</v>
      </c>
      <c r="D19" s="28">
        <v>783.01</v>
      </c>
      <c r="E19" s="28" t="s">
        <v>15</v>
      </c>
      <c r="F19" s="20" t="s">
        <v>15</v>
      </c>
      <c r="G19" s="29">
        <v>124</v>
      </c>
      <c r="H19" s="21">
        <v>4</v>
      </c>
      <c r="I19" s="22">
        <f t="shared" si="1"/>
        <v>31</v>
      </c>
      <c r="J19" s="22">
        <v>4</v>
      </c>
      <c r="K19" s="21">
        <v>0</v>
      </c>
      <c r="L19" s="28">
        <v>783.01</v>
      </c>
      <c r="M19" s="29">
        <v>124</v>
      </c>
      <c r="N19" s="23" t="s">
        <v>24</v>
      </c>
      <c r="O19" s="30" t="s">
        <v>14</v>
      </c>
    </row>
    <row r="20" spans="1:18" s="69" customFormat="1" ht="24.95" customHeight="1">
      <c r="A20" s="6">
        <v>18</v>
      </c>
      <c r="B20" s="21">
        <v>20</v>
      </c>
      <c r="C20" s="18" t="s">
        <v>146</v>
      </c>
      <c r="D20" s="28">
        <v>503.86</v>
      </c>
      <c r="E20" s="28">
        <v>1307.3699999999999</v>
      </c>
      <c r="F20" s="20">
        <f>(D20-E20)/E20</f>
        <v>-0.61460030442797364</v>
      </c>
      <c r="G20" s="29">
        <v>94</v>
      </c>
      <c r="H20" s="21">
        <v>1</v>
      </c>
      <c r="I20" s="22">
        <f t="shared" si="1"/>
        <v>94</v>
      </c>
      <c r="J20" s="22">
        <v>1</v>
      </c>
      <c r="K20" s="21">
        <v>20</v>
      </c>
      <c r="L20" s="28">
        <v>1201209.3</v>
      </c>
      <c r="M20" s="29">
        <v>208779</v>
      </c>
      <c r="N20" s="23">
        <v>45478</v>
      </c>
      <c r="O20" s="30" t="s">
        <v>63</v>
      </c>
    </row>
    <row r="21" spans="1:18" s="69" customFormat="1" ht="24.95" customHeight="1">
      <c r="A21" s="17">
        <v>19</v>
      </c>
      <c r="B21" s="21">
        <v>14</v>
      </c>
      <c r="C21" s="25" t="s">
        <v>330</v>
      </c>
      <c r="D21" s="19">
        <v>496.48</v>
      </c>
      <c r="E21" s="19">
        <v>3138.8</v>
      </c>
      <c r="F21" s="20">
        <f>(D21-E21)/E21</f>
        <v>-0.84182490123614118</v>
      </c>
      <c r="G21" s="21">
        <v>93</v>
      </c>
      <c r="H21" s="21">
        <v>15</v>
      </c>
      <c r="I21" s="22">
        <f t="shared" si="1"/>
        <v>6.2</v>
      </c>
      <c r="J21" s="22">
        <v>6</v>
      </c>
      <c r="K21" s="22">
        <v>3</v>
      </c>
      <c r="L21" s="19">
        <v>14791.16</v>
      </c>
      <c r="M21" s="21">
        <v>2760</v>
      </c>
      <c r="N21" s="23">
        <v>45597</v>
      </c>
      <c r="O21" s="30" t="s">
        <v>11</v>
      </c>
    </row>
    <row r="22" spans="1:18" s="69" customFormat="1" ht="24.95" customHeight="1">
      <c r="A22" s="6">
        <v>20</v>
      </c>
      <c r="B22" s="21" t="s">
        <v>15</v>
      </c>
      <c r="C22" s="18" t="s">
        <v>169</v>
      </c>
      <c r="D22" s="28">
        <v>400</v>
      </c>
      <c r="E22" s="28" t="s">
        <v>15</v>
      </c>
      <c r="F22" s="20" t="s">
        <v>15</v>
      </c>
      <c r="G22" s="29">
        <v>80</v>
      </c>
      <c r="H22" s="21">
        <v>1</v>
      </c>
      <c r="I22" s="22">
        <f t="shared" si="1"/>
        <v>80</v>
      </c>
      <c r="J22" s="22">
        <v>1</v>
      </c>
      <c r="K22" s="21" t="s">
        <v>15</v>
      </c>
      <c r="L22" s="28">
        <v>1117248.54</v>
      </c>
      <c r="M22" s="29">
        <v>240541</v>
      </c>
      <c r="N22" s="23">
        <v>44743</v>
      </c>
      <c r="O22" s="30" t="s">
        <v>63</v>
      </c>
    </row>
    <row r="23" spans="1:18" s="69" customFormat="1" ht="24.95" customHeight="1">
      <c r="A23" s="17">
        <v>21</v>
      </c>
      <c r="B23" s="21">
        <v>21</v>
      </c>
      <c r="C23" s="18" t="s">
        <v>303</v>
      </c>
      <c r="D23" s="28">
        <v>388.8</v>
      </c>
      <c r="E23" s="28">
        <v>1191</v>
      </c>
      <c r="F23" s="20">
        <f>(D23-E23)/E23</f>
        <v>-0.67355163727959699</v>
      </c>
      <c r="G23" s="29">
        <v>63</v>
      </c>
      <c r="H23" s="21">
        <v>4</v>
      </c>
      <c r="I23" s="22">
        <f t="shared" si="1"/>
        <v>15.75</v>
      </c>
      <c r="J23" s="22">
        <v>2</v>
      </c>
      <c r="K23" s="21">
        <v>5</v>
      </c>
      <c r="L23" s="28">
        <v>4455.1000000000004</v>
      </c>
      <c r="M23" s="29" t="s">
        <v>348</v>
      </c>
      <c r="N23" s="23">
        <v>45583</v>
      </c>
      <c r="O23" s="30" t="s">
        <v>25</v>
      </c>
    </row>
    <row r="24" spans="1:18" s="69" customFormat="1" ht="24.95" customHeight="1">
      <c r="A24" s="6">
        <v>22</v>
      </c>
      <c r="B24" s="21">
        <v>15</v>
      </c>
      <c r="C24" s="18" t="s">
        <v>319</v>
      </c>
      <c r="D24" s="28">
        <v>388.6</v>
      </c>
      <c r="E24" s="28">
        <v>2936.13</v>
      </c>
      <c r="F24" s="20">
        <f>(D24-E24)/E24</f>
        <v>-0.86764891200321514</v>
      </c>
      <c r="G24" s="29">
        <v>51</v>
      </c>
      <c r="H24" s="21">
        <v>2</v>
      </c>
      <c r="I24" s="22">
        <f t="shared" si="1"/>
        <v>25.5</v>
      </c>
      <c r="J24" s="22">
        <v>1</v>
      </c>
      <c r="K24" s="21">
        <v>4</v>
      </c>
      <c r="L24" s="28">
        <v>49200.75</v>
      </c>
      <c r="M24" s="29">
        <v>6954</v>
      </c>
      <c r="N24" s="23">
        <v>45590</v>
      </c>
      <c r="O24" s="30" t="s">
        <v>251</v>
      </c>
    </row>
    <row r="25" spans="1:18" s="69" customFormat="1" ht="24.95" customHeight="1">
      <c r="A25" s="17">
        <v>23</v>
      </c>
      <c r="B25" s="21">
        <v>23</v>
      </c>
      <c r="C25" s="18" t="s">
        <v>304</v>
      </c>
      <c r="D25" s="28">
        <v>342.2</v>
      </c>
      <c r="E25" s="19">
        <v>481.8</v>
      </c>
      <c r="F25" s="20">
        <f>(D25-E25)/E25</f>
        <v>-0.28974678289746786</v>
      </c>
      <c r="G25" s="29">
        <v>56</v>
      </c>
      <c r="H25" s="21">
        <v>5</v>
      </c>
      <c r="I25" s="22">
        <f t="shared" si="1"/>
        <v>11.2</v>
      </c>
      <c r="J25" s="22">
        <v>3</v>
      </c>
      <c r="K25" s="21">
        <v>4</v>
      </c>
      <c r="L25" s="28">
        <v>12982.98</v>
      </c>
      <c r="M25" s="29">
        <v>1915</v>
      </c>
      <c r="N25" s="23">
        <v>45590</v>
      </c>
      <c r="O25" s="30" t="s">
        <v>11</v>
      </c>
    </row>
    <row r="26" spans="1:18" s="69" customFormat="1" ht="24.95" customHeight="1">
      <c r="A26" s="6">
        <v>24</v>
      </c>
      <c r="B26" s="21">
        <v>27</v>
      </c>
      <c r="C26" s="18" t="s">
        <v>282</v>
      </c>
      <c r="D26" s="28">
        <v>295</v>
      </c>
      <c r="E26" s="19">
        <v>351</v>
      </c>
      <c r="F26" s="20">
        <f>(D26-E26)/E26</f>
        <v>-0.15954415954415954</v>
      </c>
      <c r="G26" s="29">
        <v>61</v>
      </c>
      <c r="H26" s="20" t="s">
        <v>15</v>
      </c>
      <c r="I26" s="20" t="s">
        <v>15</v>
      </c>
      <c r="J26" s="22">
        <v>1</v>
      </c>
      <c r="K26" s="21">
        <v>6</v>
      </c>
      <c r="L26" s="28">
        <v>53596</v>
      </c>
      <c r="M26" s="29">
        <v>10429</v>
      </c>
      <c r="N26" s="23">
        <v>45576</v>
      </c>
      <c r="O26" s="30" t="s">
        <v>13</v>
      </c>
    </row>
    <row r="27" spans="1:18" s="69" customFormat="1" ht="24.95" customHeight="1">
      <c r="A27" s="17">
        <v>25</v>
      </c>
      <c r="B27" s="21" t="s">
        <v>15</v>
      </c>
      <c r="C27" s="18" t="s">
        <v>47</v>
      </c>
      <c r="D27" s="28">
        <v>276</v>
      </c>
      <c r="E27" s="28" t="s">
        <v>15</v>
      </c>
      <c r="F27" s="20" t="s">
        <v>15</v>
      </c>
      <c r="G27" s="29">
        <v>100</v>
      </c>
      <c r="H27" s="21">
        <v>1</v>
      </c>
      <c r="I27" s="22">
        <f>G27/H27</f>
        <v>100</v>
      </c>
      <c r="J27" s="22">
        <v>1</v>
      </c>
      <c r="K27" s="21" t="s">
        <v>15</v>
      </c>
      <c r="L27" s="28">
        <v>25213.91</v>
      </c>
      <c r="M27" s="29">
        <v>4274</v>
      </c>
      <c r="N27" s="23">
        <v>45359</v>
      </c>
      <c r="O27" s="30" t="s">
        <v>66</v>
      </c>
    </row>
    <row r="28" spans="1:18" s="69" customFormat="1" ht="24.95" customHeight="1">
      <c r="A28" s="6">
        <v>26</v>
      </c>
      <c r="B28" s="21" t="s">
        <v>15</v>
      </c>
      <c r="C28" s="25" t="s">
        <v>353</v>
      </c>
      <c r="D28" s="19">
        <v>260</v>
      </c>
      <c r="E28" s="28" t="s">
        <v>15</v>
      </c>
      <c r="F28" s="20" t="s">
        <v>15</v>
      </c>
      <c r="G28" s="21">
        <v>48</v>
      </c>
      <c r="H28" s="21">
        <v>7</v>
      </c>
      <c r="I28" s="22">
        <v>2</v>
      </c>
      <c r="J28" s="22">
        <v>4</v>
      </c>
      <c r="K28" s="21" t="s">
        <v>15</v>
      </c>
      <c r="L28" s="19">
        <v>749</v>
      </c>
      <c r="M28" s="21">
        <v>138</v>
      </c>
      <c r="N28" s="23">
        <v>45576</v>
      </c>
      <c r="O28" s="30" t="s">
        <v>82</v>
      </c>
    </row>
    <row r="29" spans="1:18" s="69" customFormat="1" ht="24.95" customHeight="1">
      <c r="A29" s="17">
        <v>27</v>
      </c>
      <c r="B29" s="21">
        <v>22</v>
      </c>
      <c r="C29" s="25" t="s">
        <v>325</v>
      </c>
      <c r="D29" s="19">
        <v>252</v>
      </c>
      <c r="E29" s="19">
        <v>772.5</v>
      </c>
      <c r="F29" s="20">
        <f>(D29-E29)/E29</f>
        <v>-0.67378640776699028</v>
      </c>
      <c r="G29" s="21">
        <v>31</v>
      </c>
      <c r="H29" s="21">
        <v>3</v>
      </c>
      <c r="I29" s="22">
        <v>10.333333333333334</v>
      </c>
      <c r="J29" s="22">
        <v>1</v>
      </c>
      <c r="K29" s="22">
        <v>3</v>
      </c>
      <c r="L29" s="19">
        <v>7961.66</v>
      </c>
      <c r="M29" s="21">
        <v>1131</v>
      </c>
      <c r="N29" s="23">
        <v>45597</v>
      </c>
      <c r="O29" s="30" t="s">
        <v>19</v>
      </c>
    </row>
    <row r="30" spans="1:18" s="24" customFormat="1" ht="24.95" customHeight="1">
      <c r="A30" s="6">
        <v>28</v>
      </c>
      <c r="B30" s="21" t="s">
        <v>15</v>
      </c>
      <c r="C30" s="18" t="s">
        <v>276</v>
      </c>
      <c r="D30" s="28">
        <v>175</v>
      </c>
      <c r="E30" s="28" t="s">
        <v>15</v>
      </c>
      <c r="F30" s="20" t="s">
        <v>15</v>
      </c>
      <c r="G30" s="29">
        <v>35</v>
      </c>
      <c r="H30" s="21">
        <v>1</v>
      </c>
      <c r="I30" s="22">
        <f>G30/H30</f>
        <v>35</v>
      </c>
      <c r="J30" s="22">
        <v>1</v>
      </c>
      <c r="K30" s="21" t="s">
        <v>15</v>
      </c>
      <c r="L30" s="28">
        <v>3914.5</v>
      </c>
      <c r="M30" s="29">
        <v>985</v>
      </c>
      <c r="N30" s="23">
        <v>45317</v>
      </c>
      <c r="O30" s="30" t="s">
        <v>217</v>
      </c>
      <c r="R30" s="17"/>
    </row>
    <row r="31" spans="1:18" s="24" customFormat="1" ht="24.95" customHeight="1">
      <c r="A31" s="17">
        <v>29</v>
      </c>
      <c r="B31" s="21"/>
      <c r="C31" s="18" t="s">
        <v>287</v>
      </c>
      <c r="D31" s="28">
        <v>149</v>
      </c>
      <c r="E31" s="20" t="s">
        <v>15</v>
      </c>
      <c r="F31" s="20" t="s">
        <v>15</v>
      </c>
      <c r="G31" s="29">
        <v>21</v>
      </c>
      <c r="H31" s="21" t="s">
        <v>15</v>
      </c>
      <c r="I31" s="22">
        <v>1</v>
      </c>
      <c r="J31" s="22">
        <v>1</v>
      </c>
      <c r="K31" s="22" t="s">
        <v>15</v>
      </c>
      <c r="L31" s="28">
        <v>14535</v>
      </c>
      <c r="M31" s="29">
        <v>2286</v>
      </c>
      <c r="N31" s="23">
        <v>45576</v>
      </c>
      <c r="O31" s="30" t="s">
        <v>13</v>
      </c>
      <c r="R31" s="17"/>
    </row>
    <row r="32" spans="1:18" s="24" customFormat="1" ht="24.95" customHeight="1">
      <c r="A32" s="6">
        <v>30</v>
      </c>
      <c r="B32" s="21">
        <v>19</v>
      </c>
      <c r="C32" s="18" t="s">
        <v>239</v>
      </c>
      <c r="D32" s="28">
        <v>130</v>
      </c>
      <c r="E32" s="28">
        <v>1359</v>
      </c>
      <c r="F32" s="20">
        <f>(D32-E32)/E32</f>
        <v>-0.9043414275202355</v>
      </c>
      <c r="G32" s="29">
        <v>26</v>
      </c>
      <c r="H32" s="21">
        <v>1</v>
      </c>
      <c r="I32" s="22">
        <f t="shared" ref="I32:I38" si="2">G32/H32</f>
        <v>26</v>
      </c>
      <c r="J32" s="22">
        <v>1</v>
      </c>
      <c r="K32" s="21" t="s">
        <v>15</v>
      </c>
      <c r="L32" s="28">
        <v>45629.859999999993</v>
      </c>
      <c r="M32" s="29">
        <v>9011</v>
      </c>
      <c r="N32" s="23">
        <v>45541</v>
      </c>
      <c r="O32" s="30" t="s">
        <v>14</v>
      </c>
      <c r="R32" s="17"/>
    </row>
    <row r="33" spans="1:18" s="24" customFormat="1" ht="24.95" customHeight="1">
      <c r="A33" s="17">
        <v>31</v>
      </c>
      <c r="B33" s="21" t="s">
        <v>15</v>
      </c>
      <c r="C33" s="18" t="s">
        <v>349</v>
      </c>
      <c r="D33" s="28">
        <v>121</v>
      </c>
      <c r="E33" s="28" t="s">
        <v>15</v>
      </c>
      <c r="F33" s="20" t="s">
        <v>15</v>
      </c>
      <c r="G33" s="29">
        <v>21</v>
      </c>
      <c r="H33" s="21">
        <v>1</v>
      </c>
      <c r="I33" s="22">
        <f t="shared" si="2"/>
        <v>21</v>
      </c>
      <c r="J33" s="22">
        <v>1</v>
      </c>
      <c r="K33" s="21" t="s">
        <v>15</v>
      </c>
      <c r="L33" s="28">
        <v>131990.18</v>
      </c>
      <c r="M33" s="29">
        <v>22857</v>
      </c>
      <c r="N33" s="23" t="s">
        <v>350</v>
      </c>
      <c r="O33" s="30" t="s">
        <v>251</v>
      </c>
      <c r="R33" s="17"/>
    </row>
    <row r="34" spans="1:18" s="24" customFormat="1" ht="24.95" customHeight="1">
      <c r="A34" s="6">
        <v>32</v>
      </c>
      <c r="B34" s="28" t="s">
        <v>15</v>
      </c>
      <c r="C34" s="18" t="s">
        <v>346</v>
      </c>
      <c r="D34" s="28">
        <v>99</v>
      </c>
      <c r="E34" s="28" t="s">
        <v>15</v>
      </c>
      <c r="F34" s="20" t="s">
        <v>15</v>
      </c>
      <c r="G34" s="29">
        <v>18</v>
      </c>
      <c r="H34" s="21">
        <v>1</v>
      </c>
      <c r="I34" s="22">
        <f t="shared" si="2"/>
        <v>18</v>
      </c>
      <c r="J34" s="22">
        <v>1</v>
      </c>
      <c r="K34" s="21" t="s">
        <v>15</v>
      </c>
      <c r="L34" s="28">
        <v>20333.07</v>
      </c>
      <c r="M34" s="29">
        <v>3953</v>
      </c>
      <c r="N34" s="23">
        <v>44330</v>
      </c>
      <c r="O34" s="30" t="s">
        <v>217</v>
      </c>
      <c r="R34" s="17"/>
    </row>
    <row r="35" spans="1:18" s="24" customFormat="1" ht="24.95" customHeight="1">
      <c r="A35" s="17">
        <v>33</v>
      </c>
      <c r="B35" s="21">
        <v>28</v>
      </c>
      <c r="C35" s="25" t="s">
        <v>331</v>
      </c>
      <c r="D35" s="19">
        <v>80</v>
      </c>
      <c r="E35" s="19">
        <v>310.8</v>
      </c>
      <c r="F35" s="20">
        <f>(D35-E35)/E35</f>
        <v>-0.7425997425997426</v>
      </c>
      <c r="G35" s="21">
        <v>16</v>
      </c>
      <c r="H35" s="21">
        <v>4</v>
      </c>
      <c r="I35" s="22">
        <f t="shared" si="2"/>
        <v>4</v>
      </c>
      <c r="J35" s="22">
        <v>2</v>
      </c>
      <c r="K35" s="22">
        <v>3</v>
      </c>
      <c r="L35" s="19">
        <v>922</v>
      </c>
      <c r="M35" s="21">
        <v>151</v>
      </c>
      <c r="N35" s="23">
        <v>45597</v>
      </c>
      <c r="O35" s="30" t="s">
        <v>25</v>
      </c>
      <c r="R35" s="17"/>
    </row>
    <row r="36" spans="1:18" s="24" customFormat="1" ht="24.95" customHeight="1">
      <c r="A36" s="6">
        <v>34</v>
      </c>
      <c r="B36" s="21">
        <v>33</v>
      </c>
      <c r="C36" s="18" t="s">
        <v>48</v>
      </c>
      <c r="D36" s="28">
        <v>69.47</v>
      </c>
      <c r="E36" s="28">
        <v>66</v>
      </c>
      <c r="F36" s="20">
        <f>(D36-E36)/E36</f>
        <v>5.257575757575756E-2</v>
      </c>
      <c r="G36" s="29">
        <v>19</v>
      </c>
      <c r="H36" s="21">
        <v>1</v>
      </c>
      <c r="I36" s="22">
        <f t="shared" si="2"/>
        <v>19</v>
      </c>
      <c r="J36" s="22">
        <v>1</v>
      </c>
      <c r="K36" s="21" t="s">
        <v>15</v>
      </c>
      <c r="L36" s="28">
        <v>192301.52</v>
      </c>
      <c r="M36" s="29">
        <v>48031</v>
      </c>
      <c r="N36" s="23">
        <v>44659</v>
      </c>
      <c r="O36" s="30" t="s">
        <v>11</v>
      </c>
      <c r="R36" s="17"/>
    </row>
    <row r="37" spans="1:18" s="24" customFormat="1" ht="24.95" customHeight="1">
      <c r="A37" s="17">
        <v>35</v>
      </c>
      <c r="B37" s="21" t="s">
        <v>23</v>
      </c>
      <c r="C37" s="18" t="s">
        <v>347</v>
      </c>
      <c r="D37" s="28">
        <v>41</v>
      </c>
      <c r="E37" s="28" t="s">
        <v>15</v>
      </c>
      <c r="F37" s="20" t="s">
        <v>15</v>
      </c>
      <c r="G37" s="29">
        <v>7</v>
      </c>
      <c r="H37" s="21">
        <v>1</v>
      </c>
      <c r="I37" s="22">
        <f t="shared" si="2"/>
        <v>7</v>
      </c>
      <c r="J37" s="22">
        <v>1</v>
      </c>
      <c r="K37" s="21">
        <v>0</v>
      </c>
      <c r="L37" s="28">
        <v>41</v>
      </c>
      <c r="M37" s="29">
        <v>7</v>
      </c>
      <c r="N37" s="23" t="s">
        <v>24</v>
      </c>
      <c r="O37" s="30" t="s">
        <v>217</v>
      </c>
      <c r="R37" s="17"/>
    </row>
    <row r="38" spans="1:18" s="24" customFormat="1" ht="24.95" customHeight="1">
      <c r="A38" s="6">
        <v>36</v>
      </c>
      <c r="B38" s="21">
        <v>17</v>
      </c>
      <c r="C38" s="18" t="s">
        <v>272</v>
      </c>
      <c r="D38" s="28">
        <v>22</v>
      </c>
      <c r="E38" s="19">
        <v>2142.1</v>
      </c>
      <c r="F38" s="20">
        <f>(D38-E38)/E38</f>
        <v>-0.98972970449558839</v>
      </c>
      <c r="G38" s="29">
        <v>6</v>
      </c>
      <c r="H38" s="21">
        <v>2</v>
      </c>
      <c r="I38" s="22">
        <f t="shared" si="2"/>
        <v>3</v>
      </c>
      <c r="J38" s="22">
        <v>1</v>
      </c>
      <c r="K38" s="21">
        <v>5</v>
      </c>
      <c r="L38" s="28">
        <v>62644.19</v>
      </c>
      <c r="M38" s="29">
        <v>11895</v>
      </c>
      <c r="N38" s="23">
        <v>45583</v>
      </c>
      <c r="O38" s="30" t="s">
        <v>11</v>
      </c>
      <c r="R38" s="17"/>
    </row>
    <row r="39" spans="1:18" s="24" customFormat="1" ht="24.95" customHeight="1">
      <c r="A39" s="17">
        <v>37</v>
      </c>
      <c r="B39" s="21">
        <v>35</v>
      </c>
      <c r="C39" s="25" t="s">
        <v>313</v>
      </c>
      <c r="D39" s="19">
        <v>20</v>
      </c>
      <c r="E39" s="28">
        <v>20</v>
      </c>
      <c r="F39" s="20" t="s">
        <v>15</v>
      </c>
      <c r="G39" s="21">
        <v>4</v>
      </c>
      <c r="H39" s="22" t="s">
        <v>15</v>
      </c>
      <c r="I39" s="22" t="s">
        <v>15</v>
      </c>
      <c r="J39" s="22">
        <v>1</v>
      </c>
      <c r="K39" s="10" t="s">
        <v>15</v>
      </c>
      <c r="L39" s="19">
        <v>3888</v>
      </c>
      <c r="M39" s="21">
        <v>576</v>
      </c>
      <c r="N39" s="23">
        <v>45590</v>
      </c>
      <c r="O39" s="30" t="s">
        <v>13</v>
      </c>
      <c r="R39" s="17"/>
    </row>
    <row r="40" spans="1:18" s="24" customFormat="1" ht="24.95" customHeight="1">
      <c r="A40" s="6">
        <v>38</v>
      </c>
      <c r="B40" s="21" t="s">
        <v>15</v>
      </c>
      <c r="C40" s="18" t="s">
        <v>301</v>
      </c>
      <c r="D40" s="28">
        <v>14</v>
      </c>
      <c r="E40" s="28" t="s">
        <v>15</v>
      </c>
      <c r="F40" s="20" t="s">
        <v>15</v>
      </c>
      <c r="G40" s="29">
        <v>2</v>
      </c>
      <c r="H40" s="21">
        <v>1</v>
      </c>
      <c r="I40" s="22">
        <v>2</v>
      </c>
      <c r="J40" s="22">
        <v>1</v>
      </c>
      <c r="K40" s="21" t="s">
        <v>15</v>
      </c>
      <c r="L40" s="28">
        <v>9378.36</v>
      </c>
      <c r="M40" s="29">
        <v>1451</v>
      </c>
      <c r="N40" s="23">
        <v>45583</v>
      </c>
      <c r="O40" s="30" t="s">
        <v>14</v>
      </c>
      <c r="R40" s="17"/>
    </row>
    <row r="41" spans="1:18" s="24" customFormat="1" ht="24.95" customHeight="1">
      <c r="A41" s="17">
        <v>39</v>
      </c>
      <c r="B41" s="21">
        <v>29</v>
      </c>
      <c r="C41" s="25" t="s">
        <v>326</v>
      </c>
      <c r="D41" s="19">
        <v>6</v>
      </c>
      <c r="E41" s="19">
        <v>188.2</v>
      </c>
      <c r="F41" s="20">
        <f>(D41-E41)/E41</f>
        <v>-0.96811902231668434</v>
      </c>
      <c r="G41" s="21">
        <v>3</v>
      </c>
      <c r="H41" s="21">
        <v>3</v>
      </c>
      <c r="I41" s="22">
        <f>G41/H41</f>
        <v>1</v>
      </c>
      <c r="J41" s="22">
        <v>1</v>
      </c>
      <c r="K41" s="22">
        <v>3</v>
      </c>
      <c r="L41" s="19">
        <v>613.79999999999995</v>
      </c>
      <c r="M41" s="21">
        <v>100</v>
      </c>
      <c r="N41" s="23">
        <v>45597</v>
      </c>
      <c r="O41" s="30" t="s">
        <v>217</v>
      </c>
      <c r="R41" s="17"/>
    </row>
    <row r="42" spans="1:18" ht="24.95" customHeight="1">
      <c r="A42" s="46"/>
      <c r="B42" s="57" t="s">
        <v>26</v>
      </c>
      <c r="C42" s="48" t="s">
        <v>354</v>
      </c>
      <c r="D42" s="49">
        <f>SUBTOTAL(109,Table132456789101112131415171618281920212223242526[Pajamos 
(GBO)])</f>
        <v>550373.66</v>
      </c>
      <c r="E42" s="49" t="s">
        <v>344</v>
      </c>
      <c r="F42" s="50">
        <f t="shared" ref="F42" si="3">(D42-E42)/E42</f>
        <v>0.23228099321586107</v>
      </c>
      <c r="G42" s="52">
        <f>SUBTOTAL(109,Table132456789101112131415171618281920212223242526[Žiūrovų sk. 
(ADM)])</f>
        <v>75462</v>
      </c>
      <c r="H42" s="57"/>
      <c r="I42" s="46"/>
      <c r="J42" s="46"/>
      <c r="K42" s="57"/>
      <c r="L42" s="54"/>
      <c r="M42" s="57"/>
      <c r="N42" s="46"/>
      <c r="O42" s="46" t="s">
        <v>26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2C5A3-C136-43D5-98D6-975C53833612}">
  <dimension ref="A1:R38"/>
  <sheetViews>
    <sheetView topLeftCell="A6" zoomScale="60" zoomScaleNormal="60" workbookViewId="0">
      <selection activeCell="B34" sqref="B34:O34"/>
    </sheetView>
  </sheetViews>
  <sheetFormatPr defaultColWidth="0" defaultRowHeight="0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3" t="s">
        <v>335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6">
        <v>1</v>
      </c>
      <c r="B3" s="21">
        <v>1</v>
      </c>
      <c r="C3" s="13" t="s">
        <v>328</v>
      </c>
      <c r="D3" s="8">
        <v>145597</v>
      </c>
      <c r="E3" s="19">
        <v>145975</v>
      </c>
      <c r="F3" s="20">
        <f>(D3-E3)/E3</f>
        <v>-2.5894845007706801E-3</v>
      </c>
      <c r="G3" s="10">
        <v>20360</v>
      </c>
      <c r="H3" s="20" t="s">
        <v>15</v>
      </c>
      <c r="I3" s="20" t="s">
        <v>15</v>
      </c>
      <c r="J3" s="20" t="s">
        <v>15</v>
      </c>
      <c r="K3" s="11">
        <v>2</v>
      </c>
      <c r="L3" s="8">
        <v>291572</v>
      </c>
      <c r="M3" s="10">
        <v>41417</v>
      </c>
      <c r="N3" s="23">
        <v>45597</v>
      </c>
      <c r="O3" s="31" t="s">
        <v>329</v>
      </c>
    </row>
    <row r="4" spans="1:15" s="69" customFormat="1" ht="24.95" customHeight="1">
      <c r="A4" s="17">
        <v>2</v>
      </c>
      <c r="B4" s="21">
        <v>2</v>
      </c>
      <c r="C4" s="18" t="s">
        <v>305</v>
      </c>
      <c r="D4" s="28">
        <v>69161.100000000006</v>
      </c>
      <c r="E4" s="19">
        <v>105352.9</v>
      </c>
      <c r="F4" s="20">
        <f>(D4-E4)/E4</f>
        <v>-0.34352922415994236</v>
      </c>
      <c r="G4" s="29">
        <v>8200</v>
      </c>
      <c r="H4" s="21">
        <v>260</v>
      </c>
      <c r="I4" s="22">
        <f>G4/H4</f>
        <v>31.53846153846154</v>
      </c>
      <c r="J4" s="22">
        <v>12</v>
      </c>
      <c r="K4" s="21">
        <v>3</v>
      </c>
      <c r="L4" s="28">
        <v>386521.86</v>
      </c>
      <c r="M4" s="29">
        <v>48810</v>
      </c>
      <c r="N4" s="23">
        <v>45590</v>
      </c>
      <c r="O4" s="30" t="s">
        <v>61</v>
      </c>
    </row>
    <row r="5" spans="1:15" s="69" customFormat="1" ht="24.95" customHeight="1">
      <c r="A5" s="6">
        <v>3</v>
      </c>
      <c r="B5" s="21">
        <v>3</v>
      </c>
      <c r="C5" s="18" t="s">
        <v>310</v>
      </c>
      <c r="D5" s="28">
        <v>42963.3</v>
      </c>
      <c r="E5" s="19">
        <v>56359.61</v>
      </c>
      <c r="F5" s="20">
        <f>(D5-E5)/E5</f>
        <v>-0.23769344748836974</v>
      </c>
      <c r="G5" s="29">
        <v>7605</v>
      </c>
      <c r="H5" s="21">
        <v>277</v>
      </c>
      <c r="I5" s="22">
        <f>G5/H5</f>
        <v>27.454873646209386</v>
      </c>
      <c r="J5" s="22">
        <v>19</v>
      </c>
      <c r="K5" s="21">
        <v>3</v>
      </c>
      <c r="L5" s="28">
        <v>199286.72</v>
      </c>
      <c r="M5" s="29">
        <v>36254</v>
      </c>
      <c r="N5" s="23">
        <v>45590</v>
      </c>
      <c r="O5" s="30" t="s">
        <v>63</v>
      </c>
    </row>
    <row r="6" spans="1:15" s="69" customFormat="1" ht="24.95" customHeight="1">
      <c r="A6" s="17">
        <v>4</v>
      </c>
      <c r="B6" s="21" t="s">
        <v>17</v>
      </c>
      <c r="C6" s="25" t="s">
        <v>333</v>
      </c>
      <c r="D6" s="19">
        <v>38669.96</v>
      </c>
      <c r="E6" s="20" t="s">
        <v>15</v>
      </c>
      <c r="F6" s="20" t="s">
        <v>15</v>
      </c>
      <c r="G6" s="21">
        <v>5843</v>
      </c>
      <c r="H6" s="21">
        <v>187</v>
      </c>
      <c r="I6" s="22">
        <f>G6/H6</f>
        <v>31.245989304812834</v>
      </c>
      <c r="J6" s="22">
        <v>14</v>
      </c>
      <c r="K6" s="21">
        <v>1</v>
      </c>
      <c r="L6" s="19">
        <v>39737.94</v>
      </c>
      <c r="M6" s="21">
        <v>6013</v>
      </c>
      <c r="N6" s="23">
        <v>45604</v>
      </c>
      <c r="O6" s="30" t="s">
        <v>12</v>
      </c>
    </row>
    <row r="7" spans="1:15" s="69" customFormat="1" ht="24.95" customHeight="1">
      <c r="A7" s="6">
        <v>5</v>
      </c>
      <c r="B7" s="21" t="s">
        <v>17</v>
      </c>
      <c r="C7" s="25" t="s">
        <v>343</v>
      </c>
      <c r="D7" s="19">
        <v>26731</v>
      </c>
      <c r="E7" s="28" t="s">
        <v>15</v>
      </c>
      <c r="F7" s="20" t="s">
        <v>15</v>
      </c>
      <c r="G7" s="21">
        <v>5092</v>
      </c>
      <c r="H7" s="21" t="s">
        <v>15</v>
      </c>
      <c r="I7" s="22" t="s">
        <v>15</v>
      </c>
      <c r="J7" s="22">
        <v>18</v>
      </c>
      <c r="K7" s="21">
        <v>1</v>
      </c>
      <c r="L7" s="19">
        <v>26731</v>
      </c>
      <c r="M7" s="21">
        <v>5092</v>
      </c>
      <c r="N7" s="23">
        <v>45604</v>
      </c>
      <c r="O7" s="30" t="s">
        <v>13</v>
      </c>
    </row>
    <row r="8" spans="1:15" s="69" customFormat="1" ht="24.95" customHeight="1">
      <c r="A8" s="17">
        <v>6</v>
      </c>
      <c r="B8" s="21">
        <v>4</v>
      </c>
      <c r="C8" s="18" t="s">
        <v>316</v>
      </c>
      <c r="D8" s="28">
        <v>19476.23</v>
      </c>
      <c r="E8" s="19">
        <v>26164.03</v>
      </c>
      <c r="F8" s="20">
        <f>(D8-E8)/E8</f>
        <v>-0.25561046979383528</v>
      </c>
      <c r="G8" s="29">
        <v>2822</v>
      </c>
      <c r="H8" s="21">
        <v>104</v>
      </c>
      <c r="I8" s="22">
        <f t="shared" ref="I8:I14" si="0">G8/H8</f>
        <v>27.134615384615383</v>
      </c>
      <c r="J8" s="22">
        <v>17</v>
      </c>
      <c r="K8" s="21">
        <v>2</v>
      </c>
      <c r="L8" s="28">
        <v>47425.46</v>
      </c>
      <c r="M8" s="29">
        <v>6998</v>
      </c>
      <c r="N8" s="23">
        <v>45597</v>
      </c>
      <c r="O8" s="30" t="s">
        <v>11</v>
      </c>
    </row>
    <row r="9" spans="1:15" s="69" customFormat="1" ht="24.95" customHeight="1">
      <c r="A9" s="6">
        <v>7</v>
      </c>
      <c r="B9" s="21" t="s">
        <v>23</v>
      </c>
      <c r="C9" s="25" t="s">
        <v>340</v>
      </c>
      <c r="D9" s="19">
        <v>16815.900000000001</v>
      </c>
      <c r="E9" s="28" t="s">
        <v>15</v>
      </c>
      <c r="F9" s="20" t="s">
        <v>15</v>
      </c>
      <c r="G9" s="21">
        <v>2119</v>
      </c>
      <c r="H9" s="21">
        <v>17</v>
      </c>
      <c r="I9" s="22">
        <f t="shared" si="0"/>
        <v>124.64705882352941</v>
      </c>
      <c r="J9" s="22">
        <v>13</v>
      </c>
      <c r="K9" s="21">
        <v>0</v>
      </c>
      <c r="L9" s="19">
        <v>16815.900000000001</v>
      </c>
      <c r="M9" s="21">
        <v>2119</v>
      </c>
      <c r="N9" s="23" t="s">
        <v>24</v>
      </c>
      <c r="O9" s="30" t="s">
        <v>259</v>
      </c>
    </row>
    <row r="10" spans="1:15" s="69" customFormat="1" ht="24.95" customHeight="1">
      <c r="A10" s="17">
        <v>8</v>
      </c>
      <c r="B10" s="21">
        <v>5</v>
      </c>
      <c r="C10" s="18" t="s">
        <v>309</v>
      </c>
      <c r="D10" s="28">
        <v>16564.990000000002</v>
      </c>
      <c r="E10" s="19">
        <v>22920.05</v>
      </c>
      <c r="F10" s="20">
        <f>(D10-E10)/E10</f>
        <v>-0.27727077384211629</v>
      </c>
      <c r="G10" s="29">
        <v>2387</v>
      </c>
      <c r="H10" s="21">
        <v>69</v>
      </c>
      <c r="I10" s="22">
        <f t="shared" si="0"/>
        <v>34.594202898550726</v>
      </c>
      <c r="J10" s="22">
        <v>11</v>
      </c>
      <c r="K10" s="21">
        <v>3</v>
      </c>
      <c r="L10" s="28">
        <v>78999.11</v>
      </c>
      <c r="M10" s="29">
        <v>11645</v>
      </c>
      <c r="N10" s="23">
        <v>45590</v>
      </c>
      <c r="O10" s="30" t="s">
        <v>14</v>
      </c>
    </row>
    <row r="11" spans="1:15" s="69" customFormat="1" ht="24.95" customHeight="1">
      <c r="A11" s="6">
        <v>9</v>
      </c>
      <c r="B11" s="21" t="s">
        <v>17</v>
      </c>
      <c r="C11" s="18" t="s">
        <v>315</v>
      </c>
      <c r="D11" s="28">
        <v>14782.83</v>
      </c>
      <c r="E11" s="28">
        <v>1092.8399999999999</v>
      </c>
      <c r="F11" s="20">
        <f>(D11-E11)/E11</f>
        <v>12.526984737015484</v>
      </c>
      <c r="G11" s="29">
        <v>2124</v>
      </c>
      <c r="H11" s="21">
        <v>144</v>
      </c>
      <c r="I11" s="22">
        <f t="shared" si="0"/>
        <v>14.75</v>
      </c>
      <c r="J11" s="22">
        <v>12</v>
      </c>
      <c r="K11" s="21">
        <v>1</v>
      </c>
      <c r="L11" s="28">
        <v>21384.55</v>
      </c>
      <c r="M11" s="29">
        <v>3045</v>
      </c>
      <c r="N11" s="23">
        <v>45604</v>
      </c>
      <c r="O11" s="30" t="s">
        <v>11</v>
      </c>
    </row>
    <row r="12" spans="1:15" s="69" customFormat="1" ht="24.95" customHeight="1">
      <c r="A12" s="17">
        <v>10</v>
      </c>
      <c r="B12" s="21">
        <v>6</v>
      </c>
      <c r="C12" s="18" t="s">
        <v>292</v>
      </c>
      <c r="D12" s="28">
        <v>12900.42</v>
      </c>
      <c r="E12" s="19">
        <v>20687.599999999999</v>
      </c>
      <c r="F12" s="20">
        <f>(D12-E12)/E12</f>
        <v>-0.37641775749724465</v>
      </c>
      <c r="G12" s="29">
        <v>1781</v>
      </c>
      <c r="H12" s="21">
        <v>61</v>
      </c>
      <c r="I12" s="22">
        <f t="shared" si="0"/>
        <v>29.196721311475411</v>
      </c>
      <c r="J12" s="22">
        <v>8</v>
      </c>
      <c r="K12" s="21">
        <v>4</v>
      </c>
      <c r="L12" s="28">
        <v>166601.67000000001</v>
      </c>
      <c r="M12" s="29">
        <v>22743</v>
      </c>
      <c r="N12" s="23">
        <v>45583</v>
      </c>
      <c r="O12" s="30" t="s">
        <v>259</v>
      </c>
    </row>
    <row r="13" spans="1:15" s="69" customFormat="1" ht="24.95" customHeight="1">
      <c r="A13" s="6">
        <v>11</v>
      </c>
      <c r="B13" s="21">
        <v>7</v>
      </c>
      <c r="C13" s="25" t="s">
        <v>261</v>
      </c>
      <c r="D13" s="19">
        <v>12443.15</v>
      </c>
      <c r="E13" s="19">
        <v>19017.37</v>
      </c>
      <c r="F13" s="20">
        <f>(D13-E13)/E13</f>
        <v>-0.3456955404453928</v>
      </c>
      <c r="G13" s="21">
        <v>2260</v>
      </c>
      <c r="H13" s="21">
        <v>88</v>
      </c>
      <c r="I13" s="22">
        <f t="shared" si="0"/>
        <v>25.681818181818183</v>
      </c>
      <c r="J13" s="22">
        <v>10</v>
      </c>
      <c r="K13" s="22">
        <v>7</v>
      </c>
      <c r="L13" s="19">
        <v>264141.98</v>
      </c>
      <c r="M13" s="21">
        <v>48461</v>
      </c>
      <c r="N13" s="23">
        <v>45562</v>
      </c>
      <c r="O13" s="53" t="s">
        <v>11</v>
      </c>
    </row>
    <row r="14" spans="1:15" s="69" customFormat="1" ht="24.95" customHeight="1">
      <c r="A14" s="17">
        <v>12</v>
      </c>
      <c r="B14" s="21">
        <v>11</v>
      </c>
      <c r="C14" s="25" t="s">
        <v>268</v>
      </c>
      <c r="D14" s="19">
        <v>6139.95</v>
      </c>
      <c r="E14" s="19">
        <v>8058.79</v>
      </c>
      <c r="F14" s="20">
        <f>(D14-E14)/E14</f>
        <v>-0.23810522423341471</v>
      </c>
      <c r="G14" s="21">
        <v>859</v>
      </c>
      <c r="H14" s="21">
        <v>27</v>
      </c>
      <c r="I14" s="22">
        <f t="shared" si="0"/>
        <v>31.814814814814813</v>
      </c>
      <c r="J14" s="22">
        <v>5</v>
      </c>
      <c r="K14" s="22">
        <v>7</v>
      </c>
      <c r="L14" s="19">
        <v>122356.04000000002</v>
      </c>
      <c r="M14" s="21">
        <v>18124</v>
      </c>
      <c r="N14" s="23">
        <v>45562</v>
      </c>
      <c r="O14" s="53" t="s">
        <v>14</v>
      </c>
    </row>
    <row r="15" spans="1:15" s="69" customFormat="1" ht="24.95" customHeight="1">
      <c r="A15" s="6">
        <v>13</v>
      </c>
      <c r="B15" s="21" t="s">
        <v>17</v>
      </c>
      <c r="C15" s="25" t="s">
        <v>341</v>
      </c>
      <c r="D15" s="19">
        <v>4958.47</v>
      </c>
      <c r="E15" s="28" t="s">
        <v>15</v>
      </c>
      <c r="F15" s="20" t="s">
        <v>15</v>
      </c>
      <c r="G15" s="21">
        <v>695</v>
      </c>
      <c r="H15" s="21" t="s">
        <v>15</v>
      </c>
      <c r="I15" s="22" t="s">
        <v>15</v>
      </c>
      <c r="J15" s="22">
        <v>9</v>
      </c>
      <c r="K15" s="21">
        <v>1</v>
      </c>
      <c r="L15" s="19">
        <v>4958.47</v>
      </c>
      <c r="M15" s="21">
        <v>695</v>
      </c>
      <c r="N15" s="23">
        <v>45604</v>
      </c>
      <c r="O15" s="30" t="s">
        <v>342</v>
      </c>
    </row>
    <row r="16" spans="1:15" s="69" customFormat="1" ht="24.95" customHeight="1">
      <c r="A16" s="17">
        <v>14</v>
      </c>
      <c r="B16" s="21">
        <v>9</v>
      </c>
      <c r="C16" s="25" t="s">
        <v>330</v>
      </c>
      <c r="D16" s="19">
        <v>3138.8</v>
      </c>
      <c r="E16" s="19">
        <v>11116.88</v>
      </c>
      <c r="F16" s="20">
        <f t="shared" ref="F16:F25" si="1">(D16-E16)/E16</f>
        <v>-0.71765459373493279</v>
      </c>
      <c r="G16" s="21">
        <v>607</v>
      </c>
      <c r="H16" s="21">
        <v>60</v>
      </c>
      <c r="I16" s="22">
        <f>G16/H16</f>
        <v>10.116666666666667</v>
      </c>
      <c r="J16" s="22">
        <v>9</v>
      </c>
      <c r="K16" s="22">
        <v>2</v>
      </c>
      <c r="L16" s="19">
        <v>14294.68</v>
      </c>
      <c r="M16" s="21">
        <v>2667</v>
      </c>
      <c r="N16" s="23">
        <v>45597</v>
      </c>
      <c r="O16" s="30" t="s">
        <v>11</v>
      </c>
    </row>
    <row r="17" spans="1:18" s="69" customFormat="1" ht="24.95" customHeight="1">
      <c r="A17" s="6">
        <v>15</v>
      </c>
      <c r="B17" s="21">
        <v>8</v>
      </c>
      <c r="C17" s="18" t="s">
        <v>319</v>
      </c>
      <c r="D17" s="28">
        <v>2936.13</v>
      </c>
      <c r="E17" s="28">
        <v>12616.85</v>
      </c>
      <c r="F17" s="20">
        <f t="shared" si="1"/>
        <v>-0.76728501963643869</v>
      </c>
      <c r="G17" s="29">
        <v>405</v>
      </c>
      <c r="H17" s="21">
        <v>17</v>
      </c>
      <c r="I17" s="22">
        <f>G17/H17</f>
        <v>23.823529411764707</v>
      </c>
      <c r="J17" s="22">
        <v>5</v>
      </c>
      <c r="K17" s="21">
        <v>3</v>
      </c>
      <c r="L17" s="28">
        <v>48812.15</v>
      </c>
      <c r="M17" s="29">
        <v>6903</v>
      </c>
      <c r="N17" s="23">
        <v>45590</v>
      </c>
      <c r="O17" s="30" t="s">
        <v>251</v>
      </c>
    </row>
    <row r="18" spans="1:18" s="69" customFormat="1" ht="24.95" customHeight="1">
      <c r="A18" s="17">
        <v>16</v>
      </c>
      <c r="B18" s="21">
        <v>15</v>
      </c>
      <c r="C18" s="18" t="s">
        <v>300</v>
      </c>
      <c r="D18" s="28">
        <v>2191.5</v>
      </c>
      <c r="E18" s="28">
        <v>4298.71</v>
      </c>
      <c r="F18" s="20">
        <f t="shared" si="1"/>
        <v>-0.49019589597809576</v>
      </c>
      <c r="G18" s="29">
        <v>339</v>
      </c>
      <c r="H18" s="21">
        <v>20</v>
      </c>
      <c r="I18" s="22">
        <f>G18/H18</f>
        <v>16.95</v>
      </c>
      <c r="J18" s="22">
        <v>5</v>
      </c>
      <c r="K18" s="21">
        <v>4</v>
      </c>
      <c r="L18" s="28">
        <v>29871.77</v>
      </c>
      <c r="M18" s="29">
        <v>4590</v>
      </c>
      <c r="N18" s="23">
        <v>45583</v>
      </c>
      <c r="O18" s="30" t="s">
        <v>251</v>
      </c>
    </row>
    <row r="19" spans="1:18" s="69" customFormat="1" ht="24.95" customHeight="1">
      <c r="A19" s="6">
        <v>17</v>
      </c>
      <c r="B19" s="21">
        <v>12</v>
      </c>
      <c r="C19" s="18" t="s">
        <v>272</v>
      </c>
      <c r="D19" s="28">
        <v>2142.1</v>
      </c>
      <c r="E19" s="19">
        <v>7415.48</v>
      </c>
      <c r="F19" s="20">
        <f t="shared" si="1"/>
        <v>-0.71113130909934352</v>
      </c>
      <c r="G19" s="29">
        <v>386</v>
      </c>
      <c r="H19" s="21">
        <v>26</v>
      </c>
      <c r="I19" s="22">
        <f>G19/H19</f>
        <v>14.846153846153847</v>
      </c>
      <c r="J19" s="22">
        <v>7</v>
      </c>
      <c r="K19" s="21">
        <v>4</v>
      </c>
      <c r="L19" s="28">
        <v>62622.19</v>
      </c>
      <c r="M19" s="29">
        <v>11889</v>
      </c>
      <c r="N19" s="23">
        <v>45583</v>
      </c>
      <c r="O19" s="30" t="s">
        <v>11</v>
      </c>
    </row>
    <row r="20" spans="1:18" s="69" customFormat="1" ht="24.95" customHeight="1">
      <c r="A20" s="17">
        <v>18</v>
      </c>
      <c r="B20" s="21">
        <v>25</v>
      </c>
      <c r="C20" s="18" t="s">
        <v>240</v>
      </c>
      <c r="D20" s="28">
        <v>1433</v>
      </c>
      <c r="E20" s="28">
        <v>557</v>
      </c>
      <c r="F20" s="20">
        <f t="shared" si="1"/>
        <v>1.5727109515260322</v>
      </c>
      <c r="G20" s="29">
        <v>210</v>
      </c>
      <c r="H20" s="21">
        <v>10</v>
      </c>
      <c r="I20" s="22">
        <f>G20/H20</f>
        <v>21</v>
      </c>
      <c r="J20" s="22">
        <v>2</v>
      </c>
      <c r="K20" s="21">
        <v>9</v>
      </c>
      <c r="L20" s="28">
        <v>113827.53</v>
      </c>
      <c r="M20" s="29">
        <v>17126</v>
      </c>
      <c r="N20" s="23">
        <v>45548</v>
      </c>
      <c r="O20" s="30" t="s">
        <v>11</v>
      </c>
    </row>
    <row r="21" spans="1:18" s="69" customFormat="1" ht="24.95" customHeight="1">
      <c r="A21" s="6">
        <v>19</v>
      </c>
      <c r="B21" s="21">
        <v>31</v>
      </c>
      <c r="C21" s="18" t="s">
        <v>239</v>
      </c>
      <c r="D21" s="28">
        <v>1359</v>
      </c>
      <c r="E21" s="28">
        <v>75</v>
      </c>
      <c r="F21" s="20">
        <f t="shared" si="1"/>
        <v>17.12</v>
      </c>
      <c r="G21" s="29">
        <v>271</v>
      </c>
      <c r="H21" s="21">
        <v>3</v>
      </c>
      <c r="I21" s="22">
        <v>15</v>
      </c>
      <c r="J21" s="22">
        <v>2</v>
      </c>
      <c r="K21" s="20" t="s">
        <v>15</v>
      </c>
      <c r="L21" s="28">
        <v>45499.859999999993</v>
      </c>
      <c r="M21" s="29">
        <v>8985</v>
      </c>
      <c r="N21" s="23">
        <v>45541</v>
      </c>
      <c r="O21" s="30" t="s">
        <v>14</v>
      </c>
    </row>
    <row r="22" spans="1:18" s="69" customFormat="1" ht="24.95" customHeight="1">
      <c r="A22" s="17">
        <v>20</v>
      </c>
      <c r="B22" s="21">
        <v>17</v>
      </c>
      <c r="C22" s="18" t="s">
        <v>146</v>
      </c>
      <c r="D22" s="28">
        <v>1307.3699999999999</v>
      </c>
      <c r="E22" s="28">
        <v>3115.75</v>
      </c>
      <c r="F22" s="20">
        <f t="shared" si="1"/>
        <v>-0.58039958276498438</v>
      </c>
      <c r="G22" s="29">
        <v>267</v>
      </c>
      <c r="H22" s="21">
        <v>14</v>
      </c>
      <c r="I22" s="22">
        <f>G22/H22</f>
        <v>19.071428571428573</v>
      </c>
      <c r="J22" s="22">
        <v>2</v>
      </c>
      <c r="K22" s="21">
        <v>19</v>
      </c>
      <c r="L22" s="28">
        <v>1200705.44</v>
      </c>
      <c r="M22" s="29">
        <v>208685</v>
      </c>
      <c r="N22" s="23">
        <v>45478</v>
      </c>
      <c r="O22" s="30" t="s">
        <v>63</v>
      </c>
    </row>
    <row r="23" spans="1:18" s="69" customFormat="1" ht="24.95" customHeight="1">
      <c r="A23" s="6">
        <v>21</v>
      </c>
      <c r="B23" s="21">
        <v>24</v>
      </c>
      <c r="C23" s="18" t="s">
        <v>303</v>
      </c>
      <c r="D23" s="28">
        <v>1191</v>
      </c>
      <c r="E23" s="28">
        <v>797</v>
      </c>
      <c r="F23" s="20">
        <f t="shared" si="1"/>
        <v>0.49435382685069007</v>
      </c>
      <c r="G23" s="29">
        <v>188</v>
      </c>
      <c r="H23" s="21">
        <v>8</v>
      </c>
      <c r="I23" s="22">
        <f>G23/H23</f>
        <v>23.5</v>
      </c>
      <c r="J23" s="22">
        <v>4</v>
      </c>
      <c r="K23" s="21">
        <v>4</v>
      </c>
      <c r="L23" s="28">
        <v>4066.3</v>
      </c>
      <c r="M23" s="29" t="s">
        <v>338</v>
      </c>
      <c r="N23" s="23">
        <v>45583</v>
      </c>
      <c r="O23" s="30" t="s">
        <v>25</v>
      </c>
    </row>
    <row r="24" spans="1:18" s="69" customFormat="1" ht="24.95" customHeight="1">
      <c r="A24" s="17">
        <v>22</v>
      </c>
      <c r="B24" s="21">
        <v>13</v>
      </c>
      <c r="C24" s="25" t="s">
        <v>325</v>
      </c>
      <c r="D24" s="19">
        <v>772.5</v>
      </c>
      <c r="E24" s="19">
        <v>6937.16</v>
      </c>
      <c r="F24" s="20">
        <f t="shared" si="1"/>
        <v>-0.88864319116180113</v>
      </c>
      <c r="G24" s="21">
        <v>105</v>
      </c>
      <c r="H24" s="21">
        <v>14</v>
      </c>
      <c r="I24" s="22">
        <f>G24/H24</f>
        <v>7.5</v>
      </c>
      <c r="J24" s="22">
        <v>1</v>
      </c>
      <c r="K24" s="22">
        <v>2</v>
      </c>
      <c r="L24" s="19">
        <v>7709.66</v>
      </c>
      <c r="M24" s="21">
        <v>1100</v>
      </c>
      <c r="N24" s="23">
        <v>45597</v>
      </c>
      <c r="O24" s="30" t="s">
        <v>19</v>
      </c>
    </row>
    <row r="25" spans="1:18" s="69" customFormat="1" ht="24.95" customHeight="1">
      <c r="A25" s="6">
        <v>23</v>
      </c>
      <c r="B25" s="21">
        <v>18</v>
      </c>
      <c r="C25" s="18" t="s">
        <v>304</v>
      </c>
      <c r="D25" s="28">
        <v>481.8</v>
      </c>
      <c r="E25" s="19">
        <v>2730.4</v>
      </c>
      <c r="F25" s="20">
        <f t="shared" si="1"/>
        <v>-0.82354233811895683</v>
      </c>
      <c r="G25" s="29">
        <v>74</v>
      </c>
      <c r="H25" s="21">
        <v>3</v>
      </c>
      <c r="I25" s="22">
        <f>G25/H25</f>
        <v>24.666666666666668</v>
      </c>
      <c r="J25" s="22">
        <v>2</v>
      </c>
      <c r="K25" s="21">
        <v>3</v>
      </c>
      <c r="L25" s="28">
        <v>12640.78</v>
      </c>
      <c r="M25" s="29">
        <v>1859</v>
      </c>
      <c r="N25" s="23">
        <v>45590</v>
      </c>
      <c r="O25" s="30" t="s">
        <v>11</v>
      </c>
    </row>
    <row r="26" spans="1:18" s="69" customFormat="1" ht="24.95" customHeight="1">
      <c r="A26" s="17">
        <v>24</v>
      </c>
      <c r="B26" s="21" t="s">
        <v>23</v>
      </c>
      <c r="C26" s="18" t="s">
        <v>337</v>
      </c>
      <c r="D26" s="28">
        <v>473.2</v>
      </c>
      <c r="E26" s="28" t="s">
        <v>15</v>
      </c>
      <c r="F26" s="20" t="s">
        <v>15</v>
      </c>
      <c r="G26" s="29">
        <v>80</v>
      </c>
      <c r="H26" s="21">
        <v>3</v>
      </c>
      <c r="I26" s="22">
        <f>G26/H26</f>
        <v>26.666666666666668</v>
      </c>
      <c r="J26" s="22">
        <v>3</v>
      </c>
      <c r="K26" s="21">
        <v>0</v>
      </c>
      <c r="L26" s="28">
        <v>473.2</v>
      </c>
      <c r="M26" s="29">
        <v>80</v>
      </c>
      <c r="N26" s="23" t="s">
        <v>24</v>
      </c>
      <c r="O26" s="30" t="s">
        <v>11</v>
      </c>
    </row>
    <row r="27" spans="1:18" s="69" customFormat="1" ht="24.95" customHeight="1">
      <c r="A27" s="6">
        <v>25</v>
      </c>
      <c r="B27" s="21" t="s">
        <v>15</v>
      </c>
      <c r="C27" s="18" t="s">
        <v>296</v>
      </c>
      <c r="D27" s="28">
        <v>384</v>
      </c>
      <c r="E27" s="28" t="s">
        <v>15</v>
      </c>
      <c r="F27" s="20" t="s">
        <v>15</v>
      </c>
      <c r="G27" s="29">
        <v>73</v>
      </c>
      <c r="H27" s="21">
        <v>13</v>
      </c>
      <c r="I27" s="22">
        <v>7.6363636363636367</v>
      </c>
      <c r="J27" s="22">
        <v>4</v>
      </c>
      <c r="K27" s="21" t="s">
        <v>15</v>
      </c>
      <c r="L27" s="28">
        <v>1813.15</v>
      </c>
      <c r="M27" s="29">
        <v>334</v>
      </c>
      <c r="N27" s="23">
        <v>45576</v>
      </c>
      <c r="O27" s="30" t="s">
        <v>297</v>
      </c>
    </row>
    <row r="28" spans="1:18" s="69" customFormat="1" ht="24.95" customHeight="1">
      <c r="A28" s="17">
        <v>26</v>
      </c>
      <c r="B28" s="21">
        <v>16</v>
      </c>
      <c r="C28" s="25" t="s">
        <v>332</v>
      </c>
      <c r="D28" s="19">
        <v>370.5</v>
      </c>
      <c r="E28" s="19">
        <v>3593.3900000000003</v>
      </c>
      <c r="F28" s="20">
        <f>(D28-E28)/E28</f>
        <v>-0.89689401929654167</v>
      </c>
      <c r="G28" s="21">
        <v>71</v>
      </c>
      <c r="H28" s="21">
        <v>10</v>
      </c>
      <c r="I28" s="22">
        <f>G28/H28</f>
        <v>7.1</v>
      </c>
      <c r="J28" s="22">
        <v>6</v>
      </c>
      <c r="K28" s="22">
        <v>2</v>
      </c>
      <c r="L28" s="19">
        <v>3963.8900000000003</v>
      </c>
      <c r="M28" s="21">
        <v>729</v>
      </c>
      <c r="N28" s="23">
        <v>45597</v>
      </c>
      <c r="O28" s="30" t="s">
        <v>95</v>
      </c>
    </row>
    <row r="29" spans="1:18" s="69" customFormat="1" ht="24.95" customHeight="1">
      <c r="A29" s="6">
        <v>27</v>
      </c>
      <c r="B29" s="21">
        <v>20</v>
      </c>
      <c r="C29" s="18" t="s">
        <v>282</v>
      </c>
      <c r="D29" s="28">
        <v>351</v>
      </c>
      <c r="E29" s="19">
        <v>1662</v>
      </c>
      <c r="F29" s="20">
        <f>(D29-E29)/E29</f>
        <v>-0.78880866425992779</v>
      </c>
      <c r="G29" s="29">
        <v>88</v>
      </c>
      <c r="H29" s="20" t="s">
        <v>15</v>
      </c>
      <c r="I29" s="20" t="s">
        <v>15</v>
      </c>
      <c r="J29" s="22">
        <v>3</v>
      </c>
      <c r="K29" s="21">
        <v>5</v>
      </c>
      <c r="L29" s="28">
        <v>53301</v>
      </c>
      <c r="M29" s="29">
        <v>10368</v>
      </c>
      <c r="N29" s="23">
        <v>45576</v>
      </c>
      <c r="O29" s="30" t="s">
        <v>13</v>
      </c>
    </row>
    <row r="30" spans="1:18" s="24" customFormat="1" ht="24.95" customHeight="1">
      <c r="A30" s="17">
        <v>28</v>
      </c>
      <c r="B30" s="21">
        <v>26</v>
      </c>
      <c r="C30" s="25" t="s">
        <v>331</v>
      </c>
      <c r="D30" s="19">
        <v>310.8</v>
      </c>
      <c r="E30" s="19">
        <v>531.20000000000005</v>
      </c>
      <c r="F30" s="20">
        <f>(D30-E30)/E30</f>
        <v>-0.41490963855421692</v>
      </c>
      <c r="G30" s="21">
        <v>47</v>
      </c>
      <c r="H30" s="21">
        <v>8</v>
      </c>
      <c r="I30" s="22">
        <f>G30/H30</f>
        <v>5.875</v>
      </c>
      <c r="J30" s="22">
        <v>4</v>
      </c>
      <c r="K30" s="22">
        <v>2</v>
      </c>
      <c r="L30" s="19">
        <v>842</v>
      </c>
      <c r="M30" s="21">
        <v>135</v>
      </c>
      <c r="N30" s="23">
        <v>45597</v>
      </c>
      <c r="O30" s="30" t="s">
        <v>25</v>
      </c>
      <c r="R30" s="17"/>
    </row>
    <row r="31" spans="1:18" s="24" customFormat="1" ht="24.95" customHeight="1">
      <c r="A31" s="6">
        <v>29</v>
      </c>
      <c r="B31" s="21">
        <v>27</v>
      </c>
      <c r="C31" s="25" t="s">
        <v>326</v>
      </c>
      <c r="D31" s="19">
        <v>188.2</v>
      </c>
      <c r="E31" s="19">
        <v>419.6</v>
      </c>
      <c r="F31" s="20">
        <f>(D31-E31)/E31</f>
        <v>-0.5514775977121068</v>
      </c>
      <c r="G31" s="21">
        <v>31</v>
      </c>
      <c r="H31" s="21">
        <v>6</v>
      </c>
      <c r="I31" s="22">
        <f>G31/H31</f>
        <v>5.166666666666667</v>
      </c>
      <c r="J31" s="22">
        <v>4</v>
      </c>
      <c r="K31" s="22">
        <v>2</v>
      </c>
      <c r="L31" s="19">
        <v>607.79999999999995</v>
      </c>
      <c r="M31" s="21">
        <v>97</v>
      </c>
      <c r="N31" s="23">
        <v>45597</v>
      </c>
      <c r="O31" s="30" t="s">
        <v>217</v>
      </c>
      <c r="R31" s="17"/>
    </row>
    <row r="32" spans="1:18" s="24" customFormat="1" ht="24.95" customHeight="1">
      <c r="A32" s="17">
        <v>30</v>
      </c>
      <c r="B32" s="21">
        <v>33</v>
      </c>
      <c r="C32" s="18" t="s">
        <v>283</v>
      </c>
      <c r="D32" s="28">
        <v>129.79</v>
      </c>
      <c r="E32" s="28">
        <v>70</v>
      </c>
      <c r="F32" s="20">
        <f>(D32-E32)/E32</f>
        <v>0.85414285714285698</v>
      </c>
      <c r="G32" s="29">
        <v>38</v>
      </c>
      <c r="H32" s="21">
        <v>1</v>
      </c>
      <c r="I32" s="22">
        <v>38</v>
      </c>
      <c r="J32" s="22">
        <v>1</v>
      </c>
      <c r="K32" s="21">
        <v>6</v>
      </c>
      <c r="L32" s="28">
        <v>1485.26</v>
      </c>
      <c r="M32" s="29">
        <v>289</v>
      </c>
      <c r="N32" s="23">
        <v>45569</v>
      </c>
      <c r="O32" s="30" t="s">
        <v>217</v>
      </c>
      <c r="R32" s="17"/>
    </row>
    <row r="33" spans="1:18" s="24" customFormat="1" ht="24.95" customHeight="1">
      <c r="A33" s="6">
        <v>31</v>
      </c>
      <c r="B33" s="21" t="s">
        <v>15</v>
      </c>
      <c r="C33" s="18" t="s">
        <v>49</v>
      </c>
      <c r="D33" s="28">
        <v>84</v>
      </c>
      <c r="E33" s="28" t="s">
        <v>15</v>
      </c>
      <c r="F33" s="20" t="s">
        <v>15</v>
      </c>
      <c r="G33" s="29">
        <v>15</v>
      </c>
      <c r="H33" s="21">
        <v>1</v>
      </c>
      <c r="I33" s="22">
        <f>G33/H33</f>
        <v>15</v>
      </c>
      <c r="J33" s="22">
        <v>1</v>
      </c>
      <c r="K33" s="21" t="s">
        <v>15</v>
      </c>
      <c r="L33" s="28">
        <v>38543.89</v>
      </c>
      <c r="M33" s="29">
        <v>4118</v>
      </c>
      <c r="N33" s="23">
        <v>45365</v>
      </c>
      <c r="O33" s="30" t="s">
        <v>25</v>
      </c>
      <c r="R33" s="17"/>
    </row>
    <row r="34" spans="1:18" s="24" customFormat="1" ht="24.95" customHeight="1">
      <c r="A34" s="17">
        <v>32</v>
      </c>
      <c r="B34" s="21" t="s">
        <v>15</v>
      </c>
      <c r="C34" s="18" t="s">
        <v>339</v>
      </c>
      <c r="D34" s="28">
        <v>75</v>
      </c>
      <c r="E34" s="28" t="s">
        <v>15</v>
      </c>
      <c r="F34" s="20" t="s">
        <v>15</v>
      </c>
      <c r="G34" s="29">
        <v>15</v>
      </c>
      <c r="H34" s="21">
        <v>1</v>
      </c>
      <c r="I34" s="22">
        <f>G34/H34</f>
        <v>15</v>
      </c>
      <c r="J34" s="22">
        <v>1</v>
      </c>
      <c r="K34" s="21" t="s">
        <v>15</v>
      </c>
      <c r="L34" s="28">
        <v>4120.6000000000004</v>
      </c>
      <c r="M34" s="29">
        <v>1330</v>
      </c>
      <c r="N34" s="23">
        <v>44007</v>
      </c>
      <c r="O34" s="30" t="s">
        <v>25</v>
      </c>
      <c r="R34" s="17"/>
    </row>
    <row r="35" spans="1:18" s="24" customFormat="1" ht="24.95" customHeight="1">
      <c r="A35" s="6">
        <v>33</v>
      </c>
      <c r="B35" s="21" t="s">
        <v>15</v>
      </c>
      <c r="C35" s="18" t="s">
        <v>48</v>
      </c>
      <c r="D35" s="28">
        <v>66</v>
      </c>
      <c r="E35" s="28" t="s">
        <v>15</v>
      </c>
      <c r="F35" s="20" t="s">
        <v>15</v>
      </c>
      <c r="G35" s="29">
        <v>24</v>
      </c>
      <c r="H35" s="21">
        <v>1</v>
      </c>
      <c r="I35" s="22">
        <f>G35/H35</f>
        <v>24</v>
      </c>
      <c r="J35" s="22">
        <v>1</v>
      </c>
      <c r="K35" s="20" t="s">
        <v>15</v>
      </c>
      <c r="L35" s="28">
        <v>192232.05</v>
      </c>
      <c r="M35" s="29">
        <v>48012</v>
      </c>
      <c r="N35" s="23">
        <v>44659</v>
      </c>
      <c r="O35" s="30" t="s">
        <v>11</v>
      </c>
      <c r="R35" s="17"/>
    </row>
    <row r="36" spans="1:18" s="24" customFormat="1" ht="24.95" customHeight="1">
      <c r="A36" s="17">
        <v>34</v>
      </c>
      <c r="B36" s="21">
        <v>29</v>
      </c>
      <c r="C36" s="18" t="s">
        <v>249</v>
      </c>
      <c r="D36" s="28">
        <v>20</v>
      </c>
      <c r="E36" s="28">
        <v>124</v>
      </c>
      <c r="F36" s="20">
        <f>(D36-E36)/E36</f>
        <v>-0.83870967741935487</v>
      </c>
      <c r="G36" s="29">
        <v>4</v>
      </c>
      <c r="H36" s="20" t="s">
        <v>15</v>
      </c>
      <c r="I36" s="20" t="s">
        <v>15</v>
      </c>
      <c r="J36" s="22">
        <v>1</v>
      </c>
      <c r="K36" s="20" t="s">
        <v>15</v>
      </c>
      <c r="L36" s="28">
        <v>7585</v>
      </c>
      <c r="M36" s="29">
        <v>1692</v>
      </c>
      <c r="N36" s="23">
        <v>45548</v>
      </c>
      <c r="O36" s="30" t="s">
        <v>13</v>
      </c>
      <c r="R36" s="17"/>
    </row>
    <row r="37" spans="1:18" s="24" customFormat="1" ht="24.95" customHeight="1">
      <c r="A37" s="6">
        <v>35</v>
      </c>
      <c r="B37" s="21" t="s">
        <v>15</v>
      </c>
      <c r="C37" s="25" t="s">
        <v>313</v>
      </c>
      <c r="D37" s="19">
        <v>20</v>
      </c>
      <c r="E37" s="28" t="s">
        <v>15</v>
      </c>
      <c r="F37" s="20" t="s">
        <v>15</v>
      </c>
      <c r="G37" s="21">
        <v>4</v>
      </c>
      <c r="H37" s="21" t="s">
        <v>15</v>
      </c>
      <c r="I37" s="22" t="s">
        <v>15</v>
      </c>
      <c r="J37" s="22">
        <v>1</v>
      </c>
      <c r="K37" s="21" t="s">
        <v>15</v>
      </c>
      <c r="L37" s="19">
        <v>3868</v>
      </c>
      <c r="M37" s="21">
        <v>572</v>
      </c>
      <c r="N37" s="23">
        <v>45590</v>
      </c>
      <c r="O37" s="30" t="s">
        <v>13</v>
      </c>
      <c r="R37" s="17"/>
    </row>
    <row r="38" spans="1:18" ht="24.95" customHeight="1">
      <c r="A38" s="46"/>
      <c r="B38" s="57" t="s">
        <v>26</v>
      </c>
      <c r="C38" s="48" t="s">
        <v>69</v>
      </c>
      <c r="D38" s="49">
        <f>SUBTOTAL(109,Table1324567891011121314151716182819202122232425[Pajamos 
(GBO)])</f>
        <v>446629.99</v>
      </c>
      <c r="E38" s="49" t="s">
        <v>336</v>
      </c>
      <c r="F38" s="50">
        <f t="shared" ref="F38" si="2">(D38-E38)/E38</f>
        <v>-7.1509371595832275E-2</v>
      </c>
      <c r="G38" s="52">
        <f>SUBTOTAL(109,Table1324567891011121314151716182819202122232425[Žiūrovų sk. 
(ADM)])</f>
        <v>65489</v>
      </c>
      <c r="H38" s="57"/>
      <c r="I38" s="46"/>
      <c r="J38" s="46"/>
      <c r="K38" s="57"/>
      <c r="L38" s="54"/>
      <c r="M38" s="57"/>
      <c r="N38" s="46"/>
      <c r="O38" s="46" t="s">
        <v>26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5BAD-B6BE-4A2E-9DED-49D764107831}">
  <dimension ref="A1:R39"/>
  <sheetViews>
    <sheetView topLeftCell="A19" zoomScale="60" zoomScaleNormal="60" workbookViewId="0">
      <selection activeCell="C38" sqref="C38"/>
    </sheetView>
  </sheetViews>
  <sheetFormatPr defaultColWidth="0" defaultRowHeight="0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3" t="s">
        <v>323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6">
        <v>1</v>
      </c>
      <c r="B3" s="21" t="s">
        <v>17</v>
      </c>
      <c r="C3" s="13" t="s">
        <v>328</v>
      </c>
      <c r="D3" s="8">
        <v>145975</v>
      </c>
      <c r="E3" s="20" t="s">
        <v>15</v>
      </c>
      <c r="F3" s="20" t="s">
        <v>15</v>
      </c>
      <c r="G3" s="10">
        <v>21057</v>
      </c>
      <c r="H3" s="10">
        <v>231</v>
      </c>
      <c r="I3" s="22">
        <f t="shared" ref="I3:I15" si="0">G3/H3</f>
        <v>91.15584415584415</v>
      </c>
      <c r="J3" s="21" t="s">
        <v>15</v>
      </c>
      <c r="K3" s="11">
        <v>1</v>
      </c>
      <c r="L3" s="8">
        <v>145975</v>
      </c>
      <c r="M3" s="10">
        <v>21057</v>
      </c>
      <c r="N3" s="23">
        <v>45597</v>
      </c>
      <c r="O3" s="31" t="s">
        <v>329</v>
      </c>
    </row>
    <row r="4" spans="1:15" s="69" customFormat="1" ht="24.95" customHeight="1">
      <c r="A4" s="17">
        <v>2</v>
      </c>
      <c r="B4" s="17">
        <v>1</v>
      </c>
      <c r="C4" s="18" t="s">
        <v>305</v>
      </c>
      <c r="D4" s="28">
        <v>105352.9</v>
      </c>
      <c r="E4" s="19">
        <v>194442.08</v>
      </c>
      <c r="F4" s="20">
        <f>(D4-E4)/E4</f>
        <v>-0.45817849716481124</v>
      </c>
      <c r="G4" s="29">
        <v>13156</v>
      </c>
      <c r="H4" s="21">
        <v>295</v>
      </c>
      <c r="I4" s="22">
        <f t="shared" si="0"/>
        <v>44.596610169491527</v>
      </c>
      <c r="J4" s="22">
        <v>12</v>
      </c>
      <c r="K4" s="21">
        <v>2</v>
      </c>
      <c r="L4" s="28">
        <v>317274.76</v>
      </c>
      <c r="M4" s="29">
        <v>40591</v>
      </c>
      <c r="N4" s="23">
        <v>45590</v>
      </c>
      <c r="O4" s="30" t="s">
        <v>61</v>
      </c>
    </row>
    <row r="5" spans="1:15" s="69" customFormat="1" ht="24.95" customHeight="1">
      <c r="A5" s="6">
        <v>3</v>
      </c>
      <c r="B5" s="17">
        <v>2</v>
      </c>
      <c r="C5" s="18" t="s">
        <v>310</v>
      </c>
      <c r="D5" s="28">
        <v>56359.61</v>
      </c>
      <c r="E5" s="19">
        <v>97583.96</v>
      </c>
      <c r="F5" s="20">
        <f>(D5-E5)/E5</f>
        <v>-0.42245006248977807</v>
      </c>
      <c r="G5" s="29">
        <v>10028</v>
      </c>
      <c r="H5" s="21">
        <v>334</v>
      </c>
      <c r="I5" s="22">
        <f t="shared" si="0"/>
        <v>30.023952095808383</v>
      </c>
      <c r="J5" s="22">
        <v>24</v>
      </c>
      <c r="K5" s="21">
        <v>2</v>
      </c>
      <c r="L5" s="28">
        <v>156323.42000000001</v>
      </c>
      <c r="M5" s="29">
        <v>28649</v>
      </c>
      <c r="N5" s="23">
        <v>45590</v>
      </c>
      <c r="O5" s="30" t="s">
        <v>63</v>
      </c>
    </row>
    <row r="6" spans="1:15" s="69" customFormat="1" ht="24.95" customHeight="1">
      <c r="A6" s="17">
        <v>4</v>
      </c>
      <c r="B6" s="17" t="s">
        <v>17</v>
      </c>
      <c r="C6" s="18" t="s">
        <v>316</v>
      </c>
      <c r="D6" s="28">
        <v>26164.03</v>
      </c>
      <c r="E6" s="20" t="s">
        <v>15</v>
      </c>
      <c r="F6" s="20" t="s">
        <v>15</v>
      </c>
      <c r="G6" s="29">
        <v>3911</v>
      </c>
      <c r="H6" s="21">
        <v>129</v>
      </c>
      <c r="I6" s="22">
        <f t="shared" si="0"/>
        <v>30.31782945736434</v>
      </c>
      <c r="J6" s="22">
        <v>19</v>
      </c>
      <c r="K6" s="21">
        <v>1</v>
      </c>
      <c r="L6" s="28">
        <v>27698.23</v>
      </c>
      <c r="M6" s="29">
        <v>4121</v>
      </c>
      <c r="N6" s="23">
        <v>45597</v>
      </c>
      <c r="O6" s="30" t="s">
        <v>11</v>
      </c>
    </row>
    <row r="7" spans="1:15" s="69" customFormat="1" ht="24.95" customHeight="1">
      <c r="A7" s="6">
        <v>5</v>
      </c>
      <c r="B7" s="17">
        <v>5</v>
      </c>
      <c r="C7" s="18" t="s">
        <v>309</v>
      </c>
      <c r="D7" s="28">
        <v>22920.05</v>
      </c>
      <c r="E7" s="19">
        <v>34093.050000000003</v>
      </c>
      <c r="F7" s="20">
        <f>(D7-E7)/E7</f>
        <v>-0.32772075247007831</v>
      </c>
      <c r="G7" s="29">
        <v>3510</v>
      </c>
      <c r="H7" s="21">
        <v>120</v>
      </c>
      <c r="I7" s="22">
        <f t="shared" si="0"/>
        <v>29.25</v>
      </c>
      <c r="J7" s="22">
        <v>13</v>
      </c>
      <c r="K7" s="21">
        <v>2</v>
      </c>
      <c r="L7" s="28">
        <v>62434.12</v>
      </c>
      <c r="M7" s="29">
        <v>9258</v>
      </c>
      <c r="N7" s="23">
        <v>45590</v>
      </c>
      <c r="O7" s="30" t="s">
        <v>14</v>
      </c>
    </row>
    <row r="8" spans="1:15" s="69" customFormat="1" ht="24.95" customHeight="1">
      <c r="A8" s="17">
        <v>6</v>
      </c>
      <c r="B8" s="17">
        <v>3</v>
      </c>
      <c r="C8" s="18" t="s">
        <v>292</v>
      </c>
      <c r="D8" s="28">
        <v>20687.599999999999</v>
      </c>
      <c r="E8" s="19">
        <v>54072.25</v>
      </c>
      <c r="F8" s="20">
        <f>(D8-E8)/E8</f>
        <v>-0.61740818996805202</v>
      </c>
      <c r="G8" s="29">
        <v>3013</v>
      </c>
      <c r="H8" s="21">
        <v>101</v>
      </c>
      <c r="I8" s="22">
        <f t="shared" si="0"/>
        <v>29.831683168316832</v>
      </c>
      <c r="J8" s="22">
        <v>10</v>
      </c>
      <c r="K8" s="21">
        <v>3</v>
      </c>
      <c r="L8" s="28">
        <v>153701.25</v>
      </c>
      <c r="M8" s="29">
        <v>20962</v>
      </c>
      <c r="N8" s="23">
        <v>45583</v>
      </c>
      <c r="O8" s="30" t="s">
        <v>259</v>
      </c>
    </row>
    <row r="9" spans="1:15" s="69" customFormat="1" ht="24.95" customHeight="1">
      <c r="A9" s="6">
        <v>7</v>
      </c>
      <c r="B9" s="17">
        <v>4</v>
      </c>
      <c r="C9" s="25" t="s">
        <v>261</v>
      </c>
      <c r="D9" s="19">
        <v>19017.37</v>
      </c>
      <c r="E9" s="19">
        <v>36097.96</v>
      </c>
      <c r="F9" s="20">
        <f>(D9-E9)/E9</f>
        <v>-0.47317327627378392</v>
      </c>
      <c r="G9" s="21">
        <v>3437</v>
      </c>
      <c r="H9" s="21">
        <v>90</v>
      </c>
      <c r="I9" s="22">
        <f t="shared" si="0"/>
        <v>38.18888888888889</v>
      </c>
      <c r="J9" s="22">
        <v>9</v>
      </c>
      <c r="K9" s="22">
        <v>6</v>
      </c>
      <c r="L9" s="19">
        <v>251698.83</v>
      </c>
      <c r="M9" s="21">
        <v>46201</v>
      </c>
      <c r="N9" s="23">
        <v>45562</v>
      </c>
      <c r="O9" s="53" t="s">
        <v>11</v>
      </c>
    </row>
    <row r="10" spans="1:15" s="69" customFormat="1" ht="24.95" customHeight="1">
      <c r="A10" s="17">
        <v>8</v>
      </c>
      <c r="B10" s="17">
        <v>6</v>
      </c>
      <c r="C10" s="18" t="s">
        <v>319</v>
      </c>
      <c r="D10" s="28">
        <v>12616.85</v>
      </c>
      <c r="E10" s="28">
        <v>33259.17</v>
      </c>
      <c r="F10" s="20">
        <f>(D10-E10)/E10</f>
        <v>-0.62065048526466537</v>
      </c>
      <c r="G10" s="29">
        <v>1855</v>
      </c>
      <c r="H10" s="21">
        <v>63</v>
      </c>
      <c r="I10" s="22">
        <f t="shared" si="0"/>
        <v>29.444444444444443</v>
      </c>
      <c r="J10" s="22">
        <v>11</v>
      </c>
      <c r="K10" s="21">
        <v>2</v>
      </c>
      <c r="L10" s="28">
        <v>45876.02</v>
      </c>
      <c r="M10" s="29">
        <v>6498</v>
      </c>
      <c r="N10" s="23">
        <v>45590</v>
      </c>
      <c r="O10" s="30" t="s">
        <v>251</v>
      </c>
    </row>
    <row r="11" spans="1:15" s="69" customFormat="1" ht="24.95" customHeight="1">
      <c r="A11" s="6">
        <v>9</v>
      </c>
      <c r="B11" s="21" t="s">
        <v>17</v>
      </c>
      <c r="C11" s="25" t="s">
        <v>330</v>
      </c>
      <c r="D11" s="19">
        <v>11116.88</v>
      </c>
      <c r="E11" s="19" t="s">
        <v>15</v>
      </c>
      <c r="F11" s="20" t="s">
        <v>15</v>
      </c>
      <c r="G11" s="21">
        <v>2049</v>
      </c>
      <c r="H11" s="21">
        <v>176</v>
      </c>
      <c r="I11" s="22">
        <f t="shared" si="0"/>
        <v>11.642045454545455</v>
      </c>
      <c r="J11" s="22">
        <v>16</v>
      </c>
      <c r="K11" s="22">
        <v>1</v>
      </c>
      <c r="L11" s="19">
        <v>11116.88</v>
      </c>
      <c r="M11" s="21">
        <v>2049</v>
      </c>
      <c r="N11" s="23">
        <v>45597</v>
      </c>
      <c r="O11" s="30" t="s">
        <v>11</v>
      </c>
    </row>
    <row r="12" spans="1:15" s="69" customFormat="1" ht="24.95" customHeight="1">
      <c r="A12" s="17">
        <v>10</v>
      </c>
      <c r="B12" s="17">
        <v>10</v>
      </c>
      <c r="C12" s="18" t="s">
        <v>294</v>
      </c>
      <c r="D12" s="28">
        <v>8628.42</v>
      </c>
      <c r="E12" s="28">
        <v>11762.18</v>
      </c>
      <c r="F12" s="20">
        <f>(D12-E12)/E12</f>
        <v>-0.26642680183435385</v>
      </c>
      <c r="G12" s="29">
        <v>1215</v>
      </c>
      <c r="H12" s="21">
        <v>38</v>
      </c>
      <c r="I12" s="22">
        <f t="shared" si="0"/>
        <v>31.973684210526315</v>
      </c>
      <c r="J12" s="22">
        <v>8</v>
      </c>
      <c r="K12" s="21">
        <v>4</v>
      </c>
      <c r="L12" s="28">
        <v>82435.039999999994</v>
      </c>
      <c r="M12" s="29">
        <v>11920</v>
      </c>
      <c r="N12" s="23">
        <v>45576</v>
      </c>
      <c r="O12" s="30" t="s">
        <v>295</v>
      </c>
    </row>
    <row r="13" spans="1:15" s="69" customFormat="1" ht="24.95" customHeight="1">
      <c r="A13" s="6">
        <v>11</v>
      </c>
      <c r="B13" s="17">
        <v>9</v>
      </c>
      <c r="C13" s="25" t="s">
        <v>268</v>
      </c>
      <c r="D13" s="19">
        <v>8058.79</v>
      </c>
      <c r="E13" s="19">
        <v>12377.49</v>
      </c>
      <c r="F13" s="20">
        <f>(D13-E13)/E13</f>
        <v>-0.34891565252728945</v>
      </c>
      <c r="G13" s="21">
        <v>1157</v>
      </c>
      <c r="H13" s="21">
        <v>29</v>
      </c>
      <c r="I13" s="22">
        <f t="shared" si="0"/>
        <v>39.896551724137929</v>
      </c>
      <c r="J13" s="22">
        <v>5</v>
      </c>
      <c r="K13" s="22">
        <v>6</v>
      </c>
      <c r="L13" s="19">
        <v>116216.09000000001</v>
      </c>
      <c r="M13" s="21">
        <v>17265</v>
      </c>
      <c r="N13" s="23">
        <v>45562</v>
      </c>
      <c r="O13" s="53" t="s">
        <v>14</v>
      </c>
    </row>
    <row r="14" spans="1:15" s="69" customFormat="1" ht="24.95" customHeight="1">
      <c r="A14" s="17">
        <v>12</v>
      </c>
      <c r="B14" s="17">
        <v>7</v>
      </c>
      <c r="C14" s="18" t="s">
        <v>272</v>
      </c>
      <c r="D14" s="28">
        <v>7415.48</v>
      </c>
      <c r="E14" s="19">
        <v>21742.54</v>
      </c>
      <c r="F14" s="20">
        <f>(D14-E14)/E14</f>
        <v>-0.65894141162900011</v>
      </c>
      <c r="G14" s="29">
        <v>1249</v>
      </c>
      <c r="H14" s="21">
        <v>68</v>
      </c>
      <c r="I14" s="22">
        <f t="shared" si="0"/>
        <v>18.367647058823529</v>
      </c>
      <c r="J14" s="22">
        <v>10</v>
      </c>
      <c r="K14" s="21">
        <v>3</v>
      </c>
      <c r="L14" s="28">
        <v>60480.09</v>
      </c>
      <c r="M14" s="29">
        <v>11503</v>
      </c>
      <c r="N14" s="23">
        <v>45583</v>
      </c>
      <c r="O14" s="30" t="s">
        <v>11</v>
      </c>
    </row>
    <row r="15" spans="1:15" s="69" customFormat="1" ht="24.95" customHeight="1">
      <c r="A15" s="6">
        <v>13</v>
      </c>
      <c r="B15" s="21" t="s">
        <v>17</v>
      </c>
      <c r="C15" s="25" t="s">
        <v>325</v>
      </c>
      <c r="D15" s="19">
        <v>6937.16</v>
      </c>
      <c r="E15" s="19" t="s">
        <v>15</v>
      </c>
      <c r="F15" s="20" t="s">
        <v>15</v>
      </c>
      <c r="G15" s="21">
        <v>995</v>
      </c>
      <c r="H15" s="21">
        <v>65</v>
      </c>
      <c r="I15" s="22">
        <f t="shared" si="0"/>
        <v>15.307692307692308</v>
      </c>
      <c r="J15" s="22">
        <v>10</v>
      </c>
      <c r="K15" s="22">
        <v>1</v>
      </c>
      <c r="L15" s="19">
        <v>6937.16</v>
      </c>
      <c r="M15" s="21">
        <v>995</v>
      </c>
      <c r="N15" s="23">
        <v>45597</v>
      </c>
      <c r="O15" s="30" t="s">
        <v>19</v>
      </c>
    </row>
    <row r="16" spans="1:15" s="69" customFormat="1" ht="24.95" customHeight="1">
      <c r="A16" s="17">
        <v>14</v>
      </c>
      <c r="B16" s="17">
        <v>17</v>
      </c>
      <c r="C16" s="18" t="s">
        <v>262</v>
      </c>
      <c r="D16" s="28">
        <v>5462.64</v>
      </c>
      <c r="E16" s="28">
        <v>4711.32</v>
      </c>
      <c r="F16" s="20">
        <f>(D16-E16)/E16</f>
        <v>0.1594712309925882</v>
      </c>
      <c r="G16" s="29">
        <v>815</v>
      </c>
      <c r="H16" s="21">
        <v>14</v>
      </c>
      <c r="I16" s="22">
        <v>33.200000000000003</v>
      </c>
      <c r="J16" s="22">
        <v>6</v>
      </c>
      <c r="K16" s="21">
        <v>7</v>
      </c>
      <c r="L16" s="28">
        <v>286961.29000000004</v>
      </c>
      <c r="M16" s="29">
        <v>41866</v>
      </c>
      <c r="N16" s="23">
        <v>45555</v>
      </c>
      <c r="O16" s="30" t="s">
        <v>263</v>
      </c>
    </row>
    <row r="17" spans="1:18" s="69" customFormat="1" ht="24.95" customHeight="1">
      <c r="A17" s="6">
        <v>15</v>
      </c>
      <c r="B17" s="17">
        <v>15</v>
      </c>
      <c r="C17" s="18" t="s">
        <v>300</v>
      </c>
      <c r="D17" s="28">
        <v>4298.71</v>
      </c>
      <c r="E17" s="28">
        <v>7274.12</v>
      </c>
      <c r="F17" s="20">
        <f>(D17-E17)/E17</f>
        <v>-0.40904054373587456</v>
      </c>
      <c r="G17" s="29">
        <v>667</v>
      </c>
      <c r="H17" s="21">
        <v>25</v>
      </c>
      <c r="I17" s="22">
        <f>G17/H17</f>
        <v>26.68</v>
      </c>
      <c r="J17" s="22">
        <v>8</v>
      </c>
      <c r="K17" s="21">
        <v>3</v>
      </c>
      <c r="L17" s="28">
        <v>27680.27</v>
      </c>
      <c r="M17" s="29">
        <v>4251</v>
      </c>
      <c r="N17" s="23">
        <v>45583</v>
      </c>
      <c r="O17" s="30" t="s">
        <v>251</v>
      </c>
    </row>
    <row r="18" spans="1:18" s="69" customFormat="1" ht="24.95" customHeight="1">
      <c r="A18" s="17">
        <v>16</v>
      </c>
      <c r="B18" s="21" t="s">
        <v>17</v>
      </c>
      <c r="C18" s="25" t="s">
        <v>332</v>
      </c>
      <c r="D18" s="19">
        <v>3593.3900000000003</v>
      </c>
      <c r="E18" s="19" t="s">
        <v>15</v>
      </c>
      <c r="F18" s="20" t="s">
        <v>15</v>
      </c>
      <c r="G18" s="21">
        <v>658</v>
      </c>
      <c r="H18" s="21">
        <v>117</v>
      </c>
      <c r="I18" s="22">
        <f>G18/H18</f>
        <v>5.6239316239316235</v>
      </c>
      <c r="J18" s="22">
        <v>13</v>
      </c>
      <c r="K18" s="22">
        <v>1</v>
      </c>
      <c r="L18" s="19">
        <v>3593.3900000000003</v>
      </c>
      <c r="M18" s="21">
        <v>658</v>
      </c>
      <c r="N18" s="23">
        <v>45597</v>
      </c>
      <c r="O18" s="30" t="s">
        <v>95</v>
      </c>
    </row>
    <row r="19" spans="1:18" s="69" customFormat="1" ht="24.95" customHeight="1">
      <c r="A19" s="6">
        <v>17</v>
      </c>
      <c r="B19" s="17">
        <v>13</v>
      </c>
      <c r="C19" s="18" t="s">
        <v>146</v>
      </c>
      <c r="D19" s="28">
        <v>3115.75</v>
      </c>
      <c r="E19" s="28">
        <v>7682.45</v>
      </c>
      <c r="F19" s="20">
        <f>(D19-E19)/E19</f>
        <v>-0.59443276558910241</v>
      </c>
      <c r="G19" s="29">
        <v>576</v>
      </c>
      <c r="H19" s="21">
        <v>14</v>
      </c>
      <c r="I19" s="22">
        <f>G19/H19</f>
        <v>41.142857142857146</v>
      </c>
      <c r="J19" s="22">
        <v>2</v>
      </c>
      <c r="K19" s="21">
        <v>18</v>
      </c>
      <c r="L19" s="28">
        <v>1199398.07</v>
      </c>
      <c r="M19" s="29">
        <v>208418</v>
      </c>
      <c r="N19" s="23">
        <v>45478</v>
      </c>
      <c r="O19" s="30" t="s">
        <v>63</v>
      </c>
    </row>
    <row r="20" spans="1:18" s="69" customFormat="1" ht="24.95" customHeight="1">
      <c r="A20" s="17">
        <v>18</v>
      </c>
      <c r="B20" s="17">
        <v>11</v>
      </c>
      <c r="C20" s="18" t="s">
        <v>304</v>
      </c>
      <c r="D20" s="28">
        <v>2730.4</v>
      </c>
      <c r="E20" s="19">
        <v>8598.06</v>
      </c>
      <c r="F20" s="20">
        <f>(D20-E20)/E20</f>
        <v>-0.68243999227732766</v>
      </c>
      <c r="G20" s="29">
        <v>387</v>
      </c>
      <c r="H20" s="21">
        <v>18</v>
      </c>
      <c r="I20" s="22">
        <f>G20/H20</f>
        <v>21.5</v>
      </c>
      <c r="J20" s="22">
        <v>7</v>
      </c>
      <c r="K20" s="21">
        <v>2</v>
      </c>
      <c r="L20" s="28">
        <v>12080.98</v>
      </c>
      <c r="M20" s="29">
        <v>1773</v>
      </c>
      <c r="N20" s="23">
        <v>45590</v>
      </c>
      <c r="O20" s="30" t="s">
        <v>11</v>
      </c>
    </row>
    <row r="21" spans="1:18" s="69" customFormat="1" ht="24.95" customHeight="1">
      <c r="A21" s="6">
        <v>19</v>
      </c>
      <c r="B21" s="17">
        <v>14</v>
      </c>
      <c r="C21" s="18" t="s">
        <v>271</v>
      </c>
      <c r="D21" s="28">
        <v>2526.63</v>
      </c>
      <c r="E21" s="28">
        <v>7426.11</v>
      </c>
      <c r="F21" s="20">
        <f>(D21-E21)/E21</f>
        <v>-0.65976399487753346</v>
      </c>
      <c r="G21" s="29">
        <v>380</v>
      </c>
      <c r="H21" s="21">
        <v>16</v>
      </c>
      <c r="I21" s="22">
        <f>G21/H21</f>
        <v>23.75</v>
      </c>
      <c r="J21" s="22">
        <v>4</v>
      </c>
      <c r="K21" s="21">
        <v>5</v>
      </c>
      <c r="L21" s="28">
        <v>271483.01</v>
      </c>
      <c r="M21" s="29">
        <v>35010</v>
      </c>
      <c r="N21" s="23">
        <v>45569</v>
      </c>
      <c r="O21" s="30" t="s">
        <v>12</v>
      </c>
    </row>
    <row r="22" spans="1:18" s="69" customFormat="1" ht="24.95" customHeight="1">
      <c r="A22" s="17">
        <v>20</v>
      </c>
      <c r="B22" s="17">
        <v>8</v>
      </c>
      <c r="C22" s="18" t="s">
        <v>282</v>
      </c>
      <c r="D22" s="28">
        <v>1662</v>
      </c>
      <c r="E22" s="19">
        <v>13783</v>
      </c>
      <c r="F22" s="20">
        <f>(D22-E22)/E22</f>
        <v>-0.87941667271276214</v>
      </c>
      <c r="G22" s="29">
        <v>308</v>
      </c>
      <c r="H22" s="20" t="s">
        <v>15</v>
      </c>
      <c r="I22" s="20" t="s">
        <v>15</v>
      </c>
      <c r="J22" s="22">
        <v>5</v>
      </c>
      <c r="K22" s="21">
        <v>4</v>
      </c>
      <c r="L22" s="28">
        <v>52641</v>
      </c>
      <c r="M22" s="29">
        <v>10202</v>
      </c>
      <c r="N22" s="23">
        <v>45576</v>
      </c>
      <c r="O22" s="30" t="s">
        <v>13</v>
      </c>
    </row>
    <row r="23" spans="1:18" s="69" customFormat="1" ht="24.95" customHeight="1">
      <c r="A23" s="6">
        <v>21</v>
      </c>
      <c r="B23" s="17" t="s">
        <v>23</v>
      </c>
      <c r="C23" s="18" t="s">
        <v>315</v>
      </c>
      <c r="D23" s="28">
        <v>1092.8399999999999</v>
      </c>
      <c r="E23" s="28">
        <v>5508.88</v>
      </c>
      <c r="F23" s="20">
        <f>(D23-E23)/E23</f>
        <v>-0.80162210830513636</v>
      </c>
      <c r="G23" s="29">
        <v>149</v>
      </c>
      <c r="H23" s="21">
        <v>12</v>
      </c>
      <c r="I23" s="22">
        <f t="shared" ref="I23:I30" si="1">G23/H23</f>
        <v>12.416666666666666</v>
      </c>
      <c r="J23" s="22">
        <v>8</v>
      </c>
      <c r="K23" s="21">
        <v>1</v>
      </c>
      <c r="L23" s="28">
        <v>6601.72</v>
      </c>
      <c r="M23" s="29">
        <v>921</v>
      </c>
      <c r="N23" s="23" t="s">
        <v>24</v>
      </c>
      <c r="O23" s="30" t="s">
        <v>11</v>
      </c>
    </row>
    <row r="24" spans="1:18" s="69" customFormat="1" ht="24.95" customHeight="1">
      <c r="A24" s="17">
        <v>22</v>
      </c>
      <c r="B24" s="22" t="s">
        <v>23</v>
      </c>
      <c r="C24" s="25" t="s">
        <v>333</v>
      </c>
      <c r="D24" s="19">
        <v>1067.98</v>
      </c>
      <c r="E24" s="19" t="s">
        <v>15</v>
      </c>
      <c r="F24" s="20" t="s">
        <v>15</v>
      </c>
      <c r="G24" s="21">
        <v>170</v>
      </c>
      <c r="H24" s="21">
        <v>8</v>
      </c>
      <c r="I24" s="22">
        <f t="shared" si="1"/>
        <v>21.25</v>
      </c>
      <c r="J24" s="22">
        <v>8</v>
      </c>
      <c r="K24" s="21">
        <v>0</v>
      </c>
      <c r="L24" s="19">
        <v>1067.98</v>
      </c>
      <c r="M24" s="21">
        <v>170</v>
      </c>
      <c r="N24" s="23" t="s">
        <v>24</v>
      </c>
      <c r="O24" s="30" t="s">
        <v>12</v>
      </c>
    </row>
    <row r="25" spans="1:18" s="69" customFormat="1" ht="24.95" customHeight="1">
      <c r="A25" s="6">
        <v>23</v>
      </c>
      <c r="B25" s="17">
        <v>12</v>
      </c>
      <c r="C25" s="18" t="s">
        <v>234</v>
      </c>
      <c r="D25" s="28">
        <v>988.5</v>
      </c>
      <c r="E25" s="28">
        <v>8319.2999999999993</v>
      </c>
      <c r="F25" s="20">
        <f>(D25-E25)/E25</f>
        <v>-0.88117990696332626</v>
      </c>
      <c r="G25" s="29">
        <v>152</v>
      </c>
      <c r="H25" s="21">
        <v>5</v>
      </c>
      <c r="I25" s="22">
        <f t="shared" si="1"/>
        <v>30.4</v>
      </c>
      <c r="J25" s="22">
        <v>1</v>
      </c>
      <c r="K25" s="21">
        <v>9</v>
      </c>
      <c r="L25" s="28">
        <v>215290.92</v>
      </c>
      <c r="M25" s="29">
        <v>31512</v>
      </c>
      <c r="N25" s="23">
        <v>45541</v>
      </c>
      <c r="O25" s="30" t="s">
        <v>12</v>
      </c>
    </row>
    <row r="26" spans="1:18" s="69" customFormat="1" ht="24.95" customHeight="1">
      <c r="A26" s="17">
        <v>24</v>
      </c>
      <c r="B26" s="17">
        <v>30</v>
      </c>
      <c r="C26" s="18" t="s">
        <v>303</v>
      </c>
      <c r="D26" s="28">
        <v>797</v>
      </c>
      <c r="E26" s="28">
        <v>700.8</v>
      </c>
      <c r="F26" s="20">
        <f>(D26-E26)/E26</f>
        <v>0.13727168949771698</v>
      </c>
      <c r="G26" s="29">
        <v>133</v>
      </c>
      <c r="H26" s="21">
        <v>9</v>
      </c>
      <c r="I26" s="22">
        <f t="shared" si="1"/>
        <v>14.777777777777779</v>
      </c>
      <c r="J26" s="22">
        <v>5</v>
      </c>
      <c r="K26" s="21">
        <v>3</v>
      </c>
      <c r="L26" s="28">
        <v>2826.3</v>
      </c>
      <c r="M26" s="29" t="s">
        <v>334</v>
      </c>
      <c r="N26" s="23">
        <v>45583</v>
      </c>
      <c r="O26" s="30" t="s">
        <v>25</v>
      </c>
    </row>
    <row r="27" spans="1:18" s="69" customFormat="1" ht="24.95" customHeight="1">
      <c r="A27" s="6">
        <v>25</v>
      </c>
      <c r="B27" s="17">
        <v>22</v>
      </c>
      <c r="C27" s="18" t="s">
        <v>240</v>
      </c>
      <c r="D27" s="28">
        <v>557</v>
      </c>
      <c r="E27" s="28">
        <v>1482.9</v>
      </c>
      <c r="F27" s="20">
        <f>(D27-E27)/E27</f>
        <v>-0.6243846516960011</v>
      </c>
      <c r="G27" s="29">
        <v>74</v>
      </c>
      <c r="H27" s="21">
        <v>4</v>
      </c>
      <c r="I27" s="22">
        <f t="shared" si="1"/>
        <v>18.5</v>
      </c>
      <c r="J27" s="22">
        <v>1</v>
      </c>
      <c r="K27" s="21">
        <v>8</v>
      </c>
      <c r="L27" s="28">
        <v>112394.53</v>
      </c>
      <c r="M27" s="29">
        <v>16916</v>
      </c>
      <c r="N27" s="23">
        <v>45548</v>
      </c>
      <c r="O27" s="30" t="s">
        <v>11</v>
      </c>
    </row>
    <row r="28" spans="1:18" s="69" customFormat="1" ht="24.95" customHeight="1">
      <c r="A28" s="17">
        <v>26</v>
      </c>
      <c r="B28" s="21" t="s">
        <v>17</v>
      </c>
      <c r="C28" s="25" t="s">
        <v>331</v>
      </c>
      <c r="D28" s="19">
        <v>531.20000000000005</v>
      </c>
      <c r="E28" s="19" t="s">
        <v>15</v>
      </c>
      <c r="F28" s="20" t="s">
        <v>15</v>
      </c>
      <c r="G28" s="21">
        <v>88</v>
      </c>
      <c r="H28" s="21">
        <v>10</v>
      </c>
      <c r="I28" s="22">
        <f t="shared" si="1"/>
        <v>8.8000000000000007</v>
      </c>
      <c r="J28" s="22">
        <v>5</v>
      </c>
      <c r="K28" s="22">
        <v>1</v>
      </c>
      <c r="L28" s="19">
        <v>531.20000000000005</v>
      </c>
      <c r="M28" s="21">
        <v>88</v>
      </c>
      <c r="N28" s="23">
        <v>45597</v>
      </c>
      <c r="O28" s="30" t="s">
        <v>25</v>
      </c>
    </row>
    <row r="29" spans="1:18" s="69" customFormat="1" ht="24.95" customHeight="1">
      <c r="A29" s="6">
        <v>27</v>
      </c>
      <c r="B29" s="21" t="s">
        <v>17</v>
      </c>
      <c r="C29" s="25" t="s">
        <v>326</v>
      </c>
      <c r="D29" s="19">
        <v>419.6</v>
      </c>
      <c r="E29" s="20" t="s">
        <v>15</v>
      </c>
      <c r="F29" s="20" t="s">
        <v>15</v>
      </c>
      <c r="G29" s="21">
        <v>66</v>
      </c>
      <c r="H29" s="21">
        <v>10</v>
      </c>
      <c r="I29" s="22">
        <f t="shared" si="1"/>
        <v>6.6</v>
      </c>
      <c r="J29" s="22">
        <v>6</v>
      </c>
      <c r="K29" s="22">
        <v>1</v>
      </c>
      <c r="L29" s="19">
        <v>419.6</v>
      </c>
      <c r="M29" s="21">
        <v>66</v>
      </c>
      <c r="N29" s="23">
        <v>45597</v>
      </c>
      <c r="O29" s="30" t="s">
        <v>217</v>
      </c>
    </row>
    <row r="30" spans="1:18" s="24" customFormat="1" ht="24.95" customHeight="1">
      <c r="A30" s="17">
        <v>28</v>
      </c>
      <c r="B30" s="19" t="s">
        <v>15</v>
      </c>
      <c r="C30" s="25" t="s">
        <v>296</v>
      </c>
      <c r="D30" s="19">
        <v>372.75</v>
      </c>
      <c r="E30" s="19" t="s">
        <v>15</v>
      </c>
      <c r="F30" s="20" t="s">
        <v>15</v>
      </c>
      <c r="G30" s="21">
        <v>84</v>
      </c>
      <c r="H30" s="21">
        <v>11</v>
      </c>
      <c r="I30" s="22">
        <f t="shared" si="1"/>
        <v>7.6363636363636367</v>
      </c>
      <c r="J30" s="22">
        <v>3</v>
      </c>
      <c r="K30" s="21" t="s">
        <v>15</v>
      </c>
      <c r="L30" s="19">
        <v>1429.15</v>
      </c>
      <c r="M30" s="21">
        <v>261</v>
      </c>
      <c r="N30" s="23">
        <v>45576</v>
      </c>
      <c r="O30" s="30" t="s">
        <v>297</v>
      </c>
      <c r="R30" s="17"/>
    </row>
    <row r="31" spans="1:18" s="24" customFormat="1" ht="24.95" customHeight="1">
      <c r="A31" s="6">
        <v>29</v>
      </c>
      <c r="B31" s="17">
        <v>33</v>
      </c>
      <c r="C31" s="18" t="s">
        <v>249</v>
      </c>
      <c r="D31" s="28">
        <v>124</v>
      </c>
      <c r="E31" s="28">
        <v>323</v>
      </c>
      <c r="F31" s="20">
        <f>(D31-E31)/E31</f>
        <v>-0.61609907120743035</v>
      </c>
      <c r="G31" s="29">
        <v>25</v>
      </c>
      <c r="H31" s="20" t="s">
        <v>15</v>
      </c>
      <c r="I31" s="20" t="s">
        <v>15</v>
      </c>
      <c r="J31" s="22">
        <v>2</v>
      </c>
      <c r="K31" s="21" t="s">
        <v>15</v>
      </c>
      <c r="L31" s="28">
        <v>7565</v>
      </c>
      <c r="M31" s="29">
        <v>1688</v>
      </c>
      <c r="N31" s="23">
        <v>45548</v>
      </c>
      <c r="O31" s="30" t="s">
        <v>13</v>
      </c>
      <c r="R31" s="17"/>
    </row>
    <row r="32" spans="1:18" s="24" customFormat="1" ht="24.95" customHeight="1">
      <c r="A32" s="17">
        <v>30</v>
      </c>
      <c r="B32" s="22" t="s">
        <v>15</v>
      </c>
      <c r="C32" s="18" t="s">
        <v>218</v>
      </c>
      <c r="D32" s="28">
        <v>109</v>
      </c>
      <c r="E32" s="28" t="s">
        <v>15</v>
      </c>
      <c r="F32" s="72" t="s">
        <v>15</v>
      </c>
      <c r="G32" s="29">
        <v>19</v>
      </c>
      <c r="H32" s="21">
        <v>1</v>
      </c>
      <c r="I32" s="22">
        <f>G32/H32</f>
        <v>19</v>
      </c>
      <c r="J32" s="22">
        <v>1</v>
      </c>
      <c r="K32" s="21" t="s">
        <v>15</v>
      </c>
      <c r="L32" s="28">
        <v>12973.01</v>
      </c>
      <c r="M32" s="29">
        <v>2267</v>
      </c>
      <c r="N32" s="23">
        <v>45296</v>
      </c>
      <c r="O32" s="30" t="s">
        <v>116</v>
      </c>
      <c r="R32" s="17"/>
    </row>
    <row r="33" spans="1:18" s="24" customFormat="1" ht="24.95" customHeight="1">
      <c r="A33" s="6">
        <v>31</v>
      </c>
      <c r="B33" s="17">
        <v>20</v>
      </c>
      <c r="C33" s="18" t="s">
        <v>239</v>
      </c>
      <c r="D33" s="28">
        <v>75</v>
      </c>
      <c r="E33" s="28">
        <v>1647.82</v>
      </c>
      <c r="F33" s="20">
        <f>(D33-E33)/E33</f>
        <v>-0.95448531999854358</v>
      </c>
      <c r="G33" s="29">
        <v>15</v>
      </c>
      <c r="H33" s="21">
        <v>1</v>
      </c>
      <c r="I33" s="22">
        <v>15</v>
      </c>
      <c r="J33" s="22">
        <v>1</v>
      </c>
      <c r="K33" s="21" t="s">
        <v>15</v>
      </c>
      <c r="L33" s="28">
        <v>44140.859999999993</v>
      </c>
      <c r="M33" s="29">
        <v>8714</v>
      </c>
      <c r="N33" s="23">
        <v>45541</v>
      </c>
      <c r="O33" s="30" t="s">
        <v>14</v>
      </c>
      <c r="R33" s="17"/>
    </row>
    <row r="34" spans="1:18" s="24" customFormat="1" ht="24.95" customHeight="1">
      <c r="A34" s="17">
        <v>32</v>
      </c>
      <c r="B34" s="22" t="s">
        <v>15</v>
      </c>
      <c r="C34" s="25" t="s">
        <v>327</v>
      </c>
      <c r="D34" s="19">
        <v>72</v>
      </c>
      <c r="E34" s="20" t="s">
        <v>15</v>
      </c>
      <c r="F34" s="20" t="s">
        <v>15</v>
      </c>
      <c r="G34" s="21">
        <v>13</v>
      </c>
      <c r="H34" s="21">
        <v>1</v>
      </c>
      <c r="I34" s="22">
        <f>G34/H34</f>
        <v>13</v>
      </c>
      <c r="J34" s="22">
        <v>1</v>
      </c>
      <c r="K34" s="21" t="s">
        <v>15</v>
      </c>
      <c r="L34" s="19">
        <v>3682</v>
      </c>
      <c r="M34" s="21">
        <v>227</v>
      </c>
      <c r="N34" s="23">
        <v>44939</v>
      </c>
      <c r="O34" s="30" t="s">
        <v>116</v>
      </c>
      <c r="R34" s="17"/>
    </row>
    <row r="35" spans="1:18" s="24" customFormat="1" ht="24.95" customHeight="1">
      <c r="A35" s="6">
        <v>33</v>
      </c>
      <c r="B35" s="17">
        <v>39</v>
      </c>
      <c r="C35" s="18" t="s">
        <v>283</v>
      </c>
      <c r="D35" s="28">
        <v>70</v>
      </c>
      <c r="E35" s="28">
        <v>52</v>
      </c>
      <c r="F35" s="20">
        <f>(D35-E35)/E35</f>
        <v>0.34615384615384615</v>
      </c>
      <c r="G35" s="29">
        <v>14</v>
      </c>
      <c r="H35" s="21">
        <v>1</v>
      </c>
      <c r="I35" s="22">
        <f>G35/H35</f>
        <v>14</v>
      </c>
      <c r="J35" s="22">
        <v>1</v>
      </c>
      <c r="K35" s="21">
        <v>5</v>
      </c>
      <c r="L35" s="28">
        <v>1343.79</v>
      </c>
      <c r="M35" s="29">
        <v>251</v>
      </c>
      <c r="N35" s="23">
        <v>45569</v>
      </c>
      <c r="O35" s="30" t="s">
        <v>217</v>
      </c>
      <c r="R35" s="17"/>
    </row>
    <row r="36" spans="1:18" s="24" customFormat="1" ht="24.95" customHeight="1">
      <c r="A36" s="17">
        <v>34</v>
      </c>
      <c r="B36" s="17">
        <v>35</v>
      </c>
      <c r="C36" s="18" t="s">
        <v>165</v>
      </c>
      <c r="D36" s="28">
        <v>60</v>
      </c>
      <c r="E36" s="28">
        <v>231</v>
      </c>
      <c r="F36" s="20">
        <f>(D36-E36)/E36</f>
        <v>-0.74025974025974028</v>
      </c>
      <c r="G36" s="29">
        <v>15</v>
      </c>
      <c r="H36" s="21">
        <v>1</v>
      </c>
      <c r="I36" s="22">
        <f>G36/H36</f>
        <v>15</v>
      </c>
      <c r="J36" s="22">
        <v>1</v>
      </c>
      <c r="K36" s="20" t="s">
        <v>15</v>
      </c>
      <c r="L36" s="28">
        <v>162550.94</v>
      </c>
      <c r="M36" s="29">
        <v>23743</v>
      </c>
      <c r="N36" s="23">
        <v>45492</v>
      </c>
      <c r="O36" s="30" t="s">
        <v>66</v>
      </c>
      <c r="R36" s="17"/>
    </row>
    <row r="37" spans="1:18" s="24" customFormat="1" ht="24.95" customHeight="1">
      <c r="A37" s="6">
        <v>35</v>
      </c>
      <c r="B37" s="22" t="s">
        <v>15</v>
      </c>
      <c r="C37" s="25" t="s">
        <v>122</v>
      </c>
      <c r="D37" s="19">
        <v>30</v>
      </c>
      <c r="E37" s="28" t="s">
        <v>15</v>
      </c>
      <c r="F37" s="20" t="s">
        <v>15</v>
      </c>
      <c r="G37" s="21">
        <v>5</v>
      </c>
      <c r="H37" s="21">
        <v>1</v>
      </c>
      <c r="I37" s="22">
        <f>G37/H37</f>
        <v>5</v>
      </c>
      <c r="J37" s="22">
        <v>1</v>
      </c>
      <c r="K37" s="21" t="s">
        <v>15</v>
      </c>
      <c r="L37" s="19">
        <v>43204.09</v>
      </c>
      <c r="M37" s="21">
        <v>7660</v>
      </c>
      <c r="N37" s="23">
        <v>45156</v>
      </c>
      <c r="O37" s="30" t="s">
        <v>123</v>
      </c>
      <c r="R37" s="17"/>
    </row>
    <row r="38" spans="1:18" s="24" customFormat="1" ht="24.95" customHeight="1">
      <c r="A38" s="17">
        <v>36</v>
      </c>
      <c r="B38" s="17">
        <v>24</v>
      </c>
      <c r="C38" s="18" t="s">
        <v>301</v>
      </c>
      <c r="D38" s="28">
        <v>21</v>
      </c>
      <c r="E38" s="28">
        <v>852.8</v>
      </c>
      <c r="F38" s="20">
        <f>(D38-E38)/E38</f>
        <v>-0.97537523452157593</v>
      </c>
      <c r="G38" s="29">
        <v>4</v>
      </c>
      <c r="H38" s="21">
        <v>1</v>
      </c>
      <c r="I38" s="22">
        <f>G38/H38</f>
        <v>4</v>
      </c>
      <c r="J38" s="22">
        <v>1</v>
      </c>
      <c r="K38" s="21">
        <v>3</v>
      </c>
      <c r="L38" s="28">
        <v>9364.36</v>
      </c>
      <c r="M38" s="29">
        <v>1449</v>
      </c>
      <c r="N38" s="23">
        <v>45583</v>
      </c>
      <c r="O38" s="30" t="s">
        <v>14</v>
      </c>
      <c r="R38" s="17"/>
    </row>
    <row r="39" spans="1:18" ht="24.95" customHeight="1">
      <c r="A39" s="46"/>
      <c r="B39" s="65" t="s">
        <v>26</v>
      </c>
      <c r="C39" s="48" t="s">
        <v>90</v>
      </c>
      <c r="D39" s="49">
        <f>SUBTOTAL(109,Table13245678910111213141517161828192021222324[Pajamos 
(GBO)])</f>
        <v>481027.52999999997</v>
      </c>
      <c r="E39" s="49" t="s">
        <v>324</v>
      </c>
      <c r="F39" s="50">
        <f t="shared" ref="F39" si="2">(D39-E39)/E39</f>
        <v>-0.16735467622163375</v>
      </c>
      <c r="G39" s="52">
        <f>SUBTOTAL(109,Table13245678910111213141517161828192021222324[Žiūrovų sk. 
(ADM)])</f>
        <v>71449</v>
      </c>
      <c r="H39" s="57"/>
      <c r="I39" s="46"/>
      <c r="J39" s="46"/>
      <c r="K39" s="57"/>
      <c r="L39" s="54"/>
      <c r="M39" s="57"/>
      <c r="N39" s="46"/>
      <c r="O39" s="46" t="s">
        <v>26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85241-B3FE-4EB4-B6DF-AA93CC9EC23B}">
  <dimension ref="A1:R46"/>
  <sheetViews>
    <sheetView topLeftCell="A19" zoomScale="60" zoomScaleNormal="60" workbookViewId="0">
      <selection activeCell="C27" sqref="C27:O27"/>
    </sheetView>
  </sheetViews>
  <sheetFormatPr defaultColWidth="0" defaultRowHeight="0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3" t="s">
        <v>311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71" t="s">
        <v>17</v>
      </c>
      <c r="C3" s="18" t="s">
        <v>305</v>
      </c>
      <c r="D3" s="28">
        <v>194442.08</v>
      </c>
      <c r="E3" s="20" t="s">
        <v>15</v>
      </c>
      <c r="F3" s="20" t="s">
        <v>15</v>
      </c>
      <c r="G3" s="29">
        <v>25277</v>
      </c>
      <c r="H3" s="21">
        <v>354</v>
      </c>
      <c r="I3" s="22">
        <f t="shared" ref="I3:I9" si="0">G3/H3</f>
        <v>71.403954802259889</v>
      </c>
      <c r="J3" s="22">
        <v>14</v>
      </c>
      <c r="K3" s="21">
        <v>1</v>
      </c>
      <c r="L3" s="28">
        <v>211955.37</v>
      </c>
      <c r="M3" s="29">
        <v>27440</v>
      </c>
      <c r="N3" s="23">
        <v>45590</v>
      </c>
      <c r="O3" s="30" t="s">
        <v>61</v>
      </c>
    </row>
    <row r="4" spans="1:15" s="69" customFormat="1" ht="24.95" customHeight="1">
      <c r="A4" s="17">
        <v>2</v>
      </c>
      <c r="B4" s="71" t="s">
        <v>17</v>
      </c>
      <c r="C4" s="18" t="s">
        <v>310</v>
      </c>
      <c r="D4" s="28">
        <v>97583.96</v>
      </c>
      <c r="E4" s="20" t="s">
        <v>15</v>
      </c>
      <c r="F4" s="20" t="s">
        <v>15</v>
      </c>
      <c r="G4" s="29">
        <v>18173</v>
      </c>
      <c r="H4" s="21">
        <v>488</v>
      </c>
      <c r="I4" s="22">
        <f t="shared" si="0"/>
        <v>37.239754098360656</v>
      </c>
      <c r="J4" s="22">
        <v>26</v>
      </c>
      <c r="K4" s="21">
        <v>1</v>
      </c>
      <c r="L4" s="28">
        <v>99963.81</v>
      </c>
      <c r="M4" s="29">
        <v>18621</v>
      </c>
      <c r="N4" s="23">
        <v>45590</v>
      </c>
      <c r="O4" s="30" t="s">
        <v>63</v>
      </c>
    </row>
    <row r="5" spans="1:15" s="69" customFormat="1" ht="24.95" customHeight="1">
      <c r="A5" s="17">
        <v>3</v>
      </c>
      <c r="B5" s="71">
        <v>1</v>
      </c>
      <c r="C5" s="18" t="s">
        <v>292</v>
      </c>
      <c r="D5" s="28">
        <v>54072.25</v>
      </c>
      <c r="E5" s="19">
        <v>73953.100000000006</v>
      </c>
      <c r="F5" s="20">
        <f>(D5-E5)/E5</f>
        <v>-0.26883051555648113</v>
      </c>
      <c r="G5" s="29">
        <v>7833</v>
      </c>
      <c r="H5" s="21">
        <v>145</v>
      </c>
      <c r="I5" s="22">
        <f t="shared" si="0"/>
        <v>54.020689655172411</v>
      </c>
      <c r="J5" s="22">
        <v>15</v>
      </c>
      <c r="K5" s="21">
        <v>2</v>
      </c>
      <c r="L5" s="28">
        <v>133013.65</v>
      </c>
      <c r="M5" s="29">
        <v>17949</v>
      </c>
      <c r="N5" s="23">
        <v>45583</v>
      </c>
      <c r="O5" s="30" t="s">
        <v>259</v>
      </c>
    </row>
    <row r="6" spans="1:15" s="69" customFormat="1" ht="24.95" customHeight="1">
      <c r="A6" s="17">
        <v>4</v>
      </c>
      <c r="B6" s="22">
        <v>2</v>
      </c>
      <c r="C6" s="25" t="s">
        <v>261</v>
      </c>
      <c r="D6" s="19">
        <v>36097.96</v>
      </c>
      <c r="E6" s="19">
        <v>26158.57</v>
      </c>
      <c r="F6" s="20">
        <f>(D6-E6)/E6</f>
        <v>0.37996687127774947</v>
      </c>
      <c r="G6" s="21">
        <v>6901</v>
      </c>
      <c r="H6" s="21">
        <v>184</v>
      </c>
      <c r="I6" s="22">
        <f t="shared" si="0"/>
        <v>37.505434782608695</v>
      </c>
      <c r="J6" s="22">
        <v>14</v>
      </c>
      <c r="K6" s="22">
        <v>5</v>
      </c>
      <c r="L6" s="19">
        <v>232501.46</v>
      </c>
      <c r="M6" s="21">
        <v>42729</v>
      </c>
      <c r="N6" s="23">
        <v>45562</v>
      </c>
      <c r="O6" s="53" t="s">
        <v>11</v>
      </c>
    </row>
    <row r="7" spans="1:15" s="69" customFormat="1" ht="24.95" customHeight="1">
      <c r="A7" s="17">
        <v>5</v>
      </c>
      <c r="B7" s="71" t="s">
        <v>17</v>
      </c>
      <c r="C7" s="18" t="s">
        <v>309</v>
      </c>
      <c r="D7" s="28">
        <v>34093.050000000003</v>
      </c>
      <c r="E7" s="20" t="s">
        <v>15</v>
      </c>
      <c r="F7" s="20" t="s">
        <v>15</v>
      </c>
      <c r="G7" s="29">
        <v>5067</v>
      </c>
      <c r="H7" s="21">
        <v>131</v>
      </c>
      <c r="I7" s="22">
        <f t="shared" si="0"/>
        <v>38.679389312977101</v>
      </c>
      <c r="J7" s="22">
        <v>16</v>
      </c>
      <c r="K7" s="21">
        <v>1</v>
      </c>
      <c r="L7" s="28">
        <v>39514.07</v>
      </c>
      <c r="M7" s="29">
        <v>5748</v>
      </c>
      <c r="N7" s="23">
        <v>45590</v>
      </c>
      <c r="O7" s="30" t="s">
        <v>14</v>
      </c>
    </row>
    <row r="8" spans="1:15" s="69" customFormat="1" ht="24.95" customHeight="1">
      <c r="A8" s="17">
        <v>6</v>
      </c>
      <c r="B8" s="22" t="s">
        <v>17</v>
      </c>
      <c r="C8" s="18" t="s">
        <v>319</v>
      </c>
      <c r="D8" s="28">
        <v>33259.17</v>
      </c>
      <c r="E8" s="28" t="s">
        <v>15</v>
      </c>
      <c r="F8" s="20" t="s">
        <v>15</v>
      </c>
      <c r="G8" s="29">
        <v>4643</v>
      </c>
      <c r="H8" s="21">
        <v>113</v>
      </c>
      <c r="I8" s="22">
        <f t="shared" si="0"/>
        <v>41.088495575221238</v>
      </c>
      <c r="J8" s="22">
        <v>14</v>
      </c>
      <c r="K8" s="21">
        <v>1</v>
      </c>
      <c r="L8" s="28">
        <v>33259.17</v>
      </c>
      <c r="M8" s="29">
        <v>4643</v>
      </c>
      <c r="N8" s="23">
        <v>45590</v>
      </c>
      <c r="O8" s="30" t="s">
        <v>251</v>
      </c>
    </row>
    <row r="9" spans="1:15" s="69" customFormat="1" ht="24.95" customHeight="1">
      <c r="A9" s="17">
        <v>7</v>
      </c>
      <c r="B9" s="22">
        <v>4</v>
      </c>
      <c r="C9" s="18" t="s">
        <v>272</v>
      </c>
      <c r="D9" s="28">
        <v>21742.54</v>
      </c>
      <c r="E9" s="19">
        <v>22742.36</v>
      </c>
      <c r="F9" s="20">
        <f>(D9-E9)/E9</f>
        <v>-4.3962895671337522E-2</v>
      </c>
      <c r="G9" s="29">
        <v>4159</v>
      </c>
      <c r="H9" s="21">
        <v>155</v>
      </c>
      <c r="I9" s="22">
        <f t="shared" si="0"/>
        <v>26.832258064516129</v>
      </c>
      <c r="J9" s="22">
        <v>16</v>
      </c>
      <c r="K9" s="21">
        <v>2</v>
      </c>
      <c r="L9" s="28">
        <v>53080.01</v>
      </c>
      <c r="M9" s="29">
        <v>10252</v>
      </c>
      <c r="N9" s="23">
        <v>45583</v>
      </c>
      <c r="O9" s="30" t="s">
        <v>11</v>
      </c>
    </row>
    <row r="10" spans="1:15" s="69" customFormat="1" ht="24.95" customHeight="1">
      <c r="A10" s="17">
        <v>8</v>
      </c>
      <c r="B10" s="22">
        <v>8</v>
      </c>
      <c r="C10" s="18" t="s">
        <v>282</v>
      </c>
      <c r="D10" s="28">
        <v>13783</v>
      </c>
      <c r="E10" s="19">
        <v>14753</v>
      </c>
      <c r="F10" s="20">
        <f>(D10-E10)/E10</f>
        <v>-6.5749339117467637E-2</v>
      </c>
      <c r="G10" s="29">
        <v>2719</v>
      </c>
      <c r="H10" s="20" t="s">
        <v>15</v>
      </c>
      <c r="I10" s="20" t="s">
        <v>15</v>
      </c>
      <c r="J10" s="22">
        <v>13</v>
      </c>
      <c r="K10" s="21">
        <v>3</v>
      </c>
      <c r="L10" s="28">
        <v>50977</v>
      </c>
      <c r="M10" s="29">
        <v>9894</v>
      </c>
      <c r="N10" s="23">
        <v>45576</v>
      </c>
      <c r="O10" s="30" t="s">
        <v>13</v>
      </c>
    </row>
    <row r="11" spans="1:15" s="69" customFormat="1" ht="24.95" customHeight="1">
      <c r="A11" s="17">
        <v>9</v>
      </c>
      <c r="B11" s="22">
        <v>9</v>
      </c>
      <c r="C11" s="25" t="s">
        <v>268</v>
      </c>
      <c r="D11" s="19">
        <v>12377.49</v>
      </c>
      <c r="E11" s="19">
        <v>13868.83</v>
      </c>
      <c r="F11" s="20">
        <f>(D11-E11)/E11</f>
        <v>-0.10753178170040301</v>
      </c>
      <c r="G11" s="21">
        <v>1772</v>
      </c>
      <c r="H11" s="21">
        <v>37</v>
      </c>
      <c r="I11" s="22">
        <f t="shared" ref="I11:I18" si="1">G11/H11</f>
        <v>47.891891891891895</v>
      </c>
      <c r="J11" s="22">
        <v>7</v>
      </c>
      <c r="K11" s="22">
        <v>5</v>
      </c>
      <c r="L11" s="19">
        <v>108157.30000000002</v>
      </c>
      <c r="M11" s="21">
        <v>16108</v>
      </c>
      <c r="N11" s="23">
        <v>45562</v>
      </c>
      <c r="O11" s="53" t="s">
        <v>14</v>
      </c>
    </row>
    <row r="12" spans="1:15" s="69" customFormat="1" ht="24.95" customHeight="1">
      <c r="A12" s="17">
        <v>10</v>
      </c>
      <c r="B12" s="71">
        <v>3</v>
      </c>
      <c r="C12" s="18" t="s">
        <v>294</v>
      </c>
      <c r="D12" s="28">
        <v>11762.18</v>
      </c>
      <c r="E12" s="28">
        <v>24200.3</v>
      </c>
      <c r="F12" s="20">
        <f>(D12-E12)/E12</f>
        <v>-0.51396552935294193</v>
      </c>
      <c r="G12" s="29">
        <v>1666</v>
      </c>
      <c r="H12" s="21">
        <v>68</v>
      </c>
      <c r="I12" s="22">
        <f t="shared" si="1"/>
        <v>24.5</v>
      </c>
      <c r="J12" s="22">
        <v>18</v>
      </c>
      <c r="K12" s="21">
        <v>3</v>
      </c>
      <c r="L12" s="28">
        <v>71719.710000000006</v>
      </c>
      <c r="M12" s="29">
        <v>10352</v>
      </c>
      <c r="N12" s="23">
        <v>45576</v>
      </c>
      <c r="O12" s="30" t="s">
        <v>295</v>
      </c>
    </row>
    <row r="13" spans="1:15" s="69" customFormat="1" ht="24.95" customHeight="1">
      <c r="A13" s="17">
        <v>11</v>
      </c>
      <c r="B13" s="71" t="s">
        <v>17</v>
      </c>
      <c r="C13" s="18" t="s">
        <v>304</v>
      </c>
      <c r="D13" s="28">
        <v>8598.06</v>
      </c>
      <c r="E13" s="20" t="s">
        <v>15</v>
      </c>
      <c r="F13" s="20" t="s">
        <v>15</v>
      </c>
      <c r="G13" s="29">
        <v>1273</v>
      </c>
      <c r="H13" s="21">
        <v>83</v>
      </c>
      <c r="I13" s="22">
        <f t="shared" si="1"/>
        <v>15.337349397590362</v>
      </c>
      <c r="J13" s="22">
        <v>14</v>
      </c>
      <c r="K13" s="21">
        <v>1</v>
      </c>
      <c r="L13" s="28">
        <v>9304.58</v>
      </c>
      <c r="M13" s="29">
        <v>1379</v>
      </c>
      <c r="N13" s="23">
        <v>45590</v>
      </c>
      <c r="O13" s="30" t="s">
        <v>11</v>
      </c>
    </row>
    <row r="14" spans="1:15" s="69" customFormat="1" ht="24.95" customHeight="1">
      <c r="A14" s="17">
        <v>12</v>
      </c>
      <c r="B14" s="22">
        <v>13</v>
      </c>
      <c r="C14" s="18" t="s">
        <v>234</v>
      </c>
      <c r="D14" s="28">
        <v>8319.2999999999993</v>
      </c>
      <c r="E14" s="28">
        <v>6029.57</v>
      </c>
      <c r="F14" s="20">
        <f>(D14-E14)/E14</f>
        <v>0.37975013143557496</v>
      </c>
      <c r="G14" s="29">
        <v>1276</v>
      </c>
      <c r="H14" s="21">
        <v>41</v>
      </c>
      <c r="I14" s="22">
        <f t="shared" si="1"/>
        <v>31.121951219512194</v>
      </c>
      <c r="J14" s="22">
        <v>7</v>
      </c>
      <c r="K14" s="21">
        <v>8</v>
      </c>
      <c r="L14" s="28">
        <v>213802.42</v>
      </c>
      <c r="M14" s="29">
        <v>31260</v>
      </c>
      <c r="N14" s="23">
        <v>45541</v>
      </c>
      <c r="O14" s="30" t="s">
        <v>12</v>
      </c>
    </row>
    <row r="15" spans="1:15" s="69" customFormat="1" ht="24.95" customHeight="1">
      <c r="A15" s="17">
        <v>13</v>
      </c>
      <c r="B15" s="22">
        <v>12</v>
      </c>
      <c r="C15" s="18" t="s">
        <v>146</v>
      </c>
      <c r="D15" s="28">
        <v>7682.45</v>
      </c>
      <c r="E15" s="28">
        <v>7675.99</v>
      </c>
      <c r="F15" s="20">
        <f>(D15-E15)/E15</f>
        <v>8.4158525480101411E-4</v>
      </c>
      <c r="G15" s="29">
        <v>1468</v>
      </c>
      <c r="H15" s="21">
        <v>39</v>
      </c>
      <c r="I15" s="22">
        <f t="shared" si="1"/>
        <v>37.641025641025642</v>
      </c>
      <c r="J15" s="22">
        <v>8</v>
      </c>
      <c r="K15" s="21">
        <v>17</v>
      </c>
      <c r="L15" s="28">
        <v>1196282.32</v>
      </c>
      <c r="M15" s="29">
        <v>207842</v>
      </c>
      <c r="N15" s="23">
        <v>45478</v>
      </c>
      <c r="O15" s="30" t="s">
        <v>63</v>
      </c>
    </row>
    <row r="16" spans="1:15" s="69" customFormat="1" ht="24.95" customHeight="1">
      <c r="A16" s="17">
        <v>14</v>
      </c>
      <c r="B16" s="22">
        <v>5</v>
      </c>
      <c r="C16" s="18" t="s">
        <v>271</v>
      </c>
      <c r="D16" s="28">
        <v>7426.11</v>
      </c>
      <c r="E16" s="28">
        <v>17840.91</v>
      </c>
      <c r="F16" s="20">
        <f>(D16-E16)/E16</f>
        <v>-0.58375946070015483</v>
      </c>
      <c r="G16" s="29">
        <v>1073</v>
      </c>
      <c r="H16" s="21">
        <v>41</v>
      </c>
      <c r="I16" s="22">
        <f t="shared" si="1"/>
        <v>26.170731707317074</v>
      </c>
      <c r="J16" s="22">
        <v>7</v>
      </c>
      <c r="K16" s="21">
        <v>4</v>
      </c>
      <c r="L16" s="28">
        <v>268145.08</v>
      </c>
      <c r="M16" s="29">
        <v>34460</v>
      </c>
      <c r="N16" s="23">
        <v>45569</v>
      </c>
      <c r="O16" s="30" t="s">
        <v>12</v>
      </c>
    </row>
    <row r="17" spans="1:18" s="69" customFormat="1" ht="24.95" customHeight="1">
      <c r="A17" s="17">
        <v>15</v>
      </c>
      <c r="B17" s="71">
        <v>7</v>
      </c>
      <c r="C17" s="18" t="s">
        <v>300</v>
      </c>
      <c r="D17" s="28">
        <v>7274.12</v>
      </c>
      <c r="E17" s="28">
        <v>16107.44</v>
      </c>
      <c r="F17" s="20">
        <f>(D17-E17)/E17</f>
        <v>-0.54839999404002127</v>
      </c>
      <c r="G17" s="29">
        <v>1090</v>
      </c>
      <c r="H17" s="21">
        <v>39</v>
      </c>
      <c r="I17" s="22">
        <f t="shared" si="1"/>
        <v>27.948717948717949</v>
      </c>
      <c r="J17" s="22">
        <v>12</v>
      </c>
      <c r="K17" s="21">
        <v>2</v>
      </c>
      <c r="L17" s="28">
        <v>23381.56</v>
      </c>
      <c r="M17" s="29">
        <v>3584</v>
      </c>
      <c r="N17" s="23">
        <v>45583</v>
      </c>
      <c r="O17" s="30" t="s">
        <v>251</v>
      </c>
    </row>
    <row r="18" spans="1:18" s="69" customFormat="1" ht="24.95" customHeight="1">
      <c r="A18" s="17">
        <v>16</v>
      </c>
      <c r="B18" s="22" t="s">
        <v>23</v>
      </c>
      <c r="C18" s="18" t="s">
        <v>315</v>
      </c>
      <c r="D18" s="28">
        <v>5508.88</v>
      </c>
      <c r="E18" s="28" t="s">
        <v>15</v>
      </c>
      <c r="F18" s="20" t="s">
        <v>15</v>
      </c>
      <c r="G18" s="29">
        <v>772</v>
      </c>
      <c r="H18" s="21">
        <v>11</v>
      </c>
      <c r="I18" s="22">
        <f t="shared" si="1"/>
        <v>70.181818181818187</v>
      </c>
      <c r="J18" s="22">
        <v>9</v>
      </c>
      <c r="K18" s="21">
        <v>0</v>
      </c>
      <c r="L18" s="28">
        <v>5508.88</v>
      </c>
      <c r="M18" s="29">
        <v>772</v>
      </c>
      <c r="N18" s="23" t="s">
        <v>24</v>
      </c>
      <c r="O18" s="30" t="s">
        <v>11</v>
      </c>
    </row>
    <row r="19" spans="1:18" s="69" customFormat="1" ht="24.95" customHeight="1">
      <c r="A19" s="17">
        <v>17</v>
      </c>
      <c r="B19" s="22">
        <v>10</v>
      </c>
      <c r="C19" s="18" t="s">
        <v>262</v>
      </c>
      <c r="D19" s="28">
        <v>4711.32</v>
      </c>
      <c r="E19" s="28">
        <v>12280.96</v>
      </c>
      <c r="F19" s="20">
        <f>(D19-E19)/E19</f>
        <v>-0.6163720100057325</v>
      </c>
      <c r="G19" s="29">
        <v>664</v>
      </c>
      <c r="H19" s="21">
        <v>20</v>
      </c>
      <c r="I19" s="22">
        <v>33.200000000000003</v>
      </c>
      <c r="J19" s="22">
        <v>10</v>
      </c>
      <c r="K19" s="21">
        <v>6</v>
      </c>
      <c r="L19" s="28">
        <v>281498.65000000002</v>
      </c>
      <c r="M19" s="29">
        <v>41051</v>
      </c>
      <c r="N19" s="23">
        <v>45555</v>
      </c>
      <c r="O19" s="30" t="s">
        <v>263</v>
      </c>
    </row>
    <row r="20" spans="1:18" s="69" customFormat="1" ht="24.95" customHeight="1">
      <c r="A20" s="17">
        <v>18</v>
      </c>
      <c r="B20" s="21" t="s">
        <v>17</v>
      </c>
      <c r="C20" s="25" t="s">
        <v>313</v>
      </c>
      <c r="D20" s="19">
        <v>3818</v>
      </c>
      <c r="E20" s="20" t="s">
        <v>15</v>
      </c>
      <c r="F20" s="20" t="s">
        <v>15</v>
      </c>
      <c r="G20" s="21">
        <v>561</v>
      </c>
      <c r="H20" s="21" t="s">
        <v>15</v>
      </c>
      <c r="I20" s="22" t="s">
        <v>15</v>
      </c>
      <c r="J20" s="22">
        <v>13</v>
      </c>
      <c r="K20" s="22">
        <v>1</v>
      </c>
      <c r="L20" s="19">
        <v>3818</v>
      </c>
      <c r="M20" s="21">
        <v>561</v>
      </c>
      <c r="N20" s="23">
        <v>45590</v>
      </c>
      <c r="O20" s="30" t="s">
        <v>13</v>
      </c>
    </row>
    <row r="21" spans="1:18" s="69" customFormat="1" ht="24.95" customHeight="1">
      <c r="A21" s="17">
        <v>19</v>
      </c>
      <c r="B21" s="22">
        <v>20</v>
      </c>
      <c r="C21" s="18" t="s">
        <v>106</v>
      </c>
      <c r="D21" s="28">
        <v>1742.3</v>
      </c>
      <c r="E21" s="28">
        <v>1581.98</v>
      </c>
      <c r="F21" s="20">
        <f>(D21-E21)/E21</f>
        <v>0.10134135703359078</v>
      </c>
      <c r="G21" s="29">
        <v>331</v>
      </c>
      <c r="H21" s="21">
        <v>19</v>
      </c>
      <c r="I21" s="22">
        <f t="shared" ref="I21:I26" si="2">G21/H21</f>
        <v>17.421052631578949</v>
      </c>
      <c r="J21" s="22">
        <v>3</v>
      </c>
      <c r="K21" s="21">
        <v>20</v>
      </c>
      <c r="L21" s="28">
        <v>1308627.6599999999</v>
      </c>
      <c r="M21" s="29">
        <v>226591</v>
      </c>
      <c r="N21" s="23">
        <v>45457</v>
      </c>
      <c r="O21" s="30" t="s">
        <v>18</v>
      </c>
    </row>
    <row r="22" spans="1:18" s="69" customFormat="1" ht="24.95" customHeight="1">
      <c r="A22" s="17">
        <v>20</v>
      </c>
      <c r="B22" s="22">
        <v>28</v>
      </c>
      <c r="C22" s="18" t="s">
        <v>239</v>
      </c>
      <c r="D22" s="28">
        <v>1647.82</v>
      </c>
      <c r="E22" s="28">
        <v>257.49</v>
      </c>
      <c r="F22" s="20">
        <f>(D22-E22)/E22</f>
        <v>5.3995494970678468</v>
      </c>
      <c r="G22" s="29">
        <v>402</v>
      </c>
      <c r="H22" s="21">
        <v>6</v>
      </c>
      <c r="I22" s="22">
        <f t="shared" si="2"/>
        <v>67</v>
      </c>
      <c r="J22" s="22">
        <v>2</v>
      </c>
      <c r="K22" s="21">
        <v>8</v>
      </c>
      <c r="L22" s="28">
        <v>44065.859999999993</v>
      </c>
      <c r="M22" s="29">
        <v>8699</v>
      </c>
      <c r="N22" s="23">
        <v>45541</v>
      </c>
      <c r="O22" s="30" t="s">
        <v>14</v>
      </c>
    </row>
    <row r="23" spans="1:18" s="69" customFormat="1" ht="24.95" customHeight="1">
      <c r="A23" s="17">
        <v>21</v>
      </c>
      <c r="B23" s="71" t="s">
        <v>23</v>
      </c>
      <c r="C23" s="18" t="s">
        <v>316</v>
      </c>
      <c r="D23" s="28">
        <v>1534.2</v>
      </c>
      <c r="E23" s="28" t="s">
        <v>15</v>
      </c>
      <c r="F23" s="20" t="s">
        <v>15</v>
      </c>
      <c r="G23" s="29">
        <v>210</v>
      </c>
      <c r="H23" s="21">
        <v>6</v>
      </c>
      <c r="I23" s="22">
        <f t="shared" si="2"/>
        <v>35</v>
      </c>
      <c r="J23" s="22">
        <v>5</v>
      </c>
      <c r="K23" s="21">
        <v>0</v>
      </c>
      <c r="L23" s="28">
        <v>1534.2</v>
      </c>
      <c r="M23" s="29">
        <v>210</v>
      </c>
      <c r="N23" s="23" t="s">
        <v>24</v>
      </c>
      <c r="O23" s="30" t="s">
        <v>11</v>
      </c>
    </row>
    <row r="24" spans="1:18" s="69" customFormat="1" ht="24.95" customHeight="1">
      <c r="A24" s="17">
        <v>22</v>
      </c>
      <c r="B24" s="22">
        <v>17</v>
      </c>
      <c r="C24" s="18" t="s">
        <v>240</v>
      </c>
      <c r="D24" s="28">
        <v>1482.9</v>
      </c>
      <c r="E24" s="28">
        <v>2313.6</v>
      </c>
      <c r="F24" s="20">
        <f>(D24-E24)/E24</f>
        <v>-0.35905082987551862</v>
      </c>
      <c r="G24" s="29">
        <v>280</v>
      </c>
      <c r="H24" s="21">
        <v>8</v>
      </c>
      <c r="I24" s="22">
        <f t="shared" si="2"/>
        <v>35</v>
      </c>
      <c r="J24" s="22">
        <v>3</v>
      </c>
      <c r="K24" s="21">
        <v>7</v>
      </c>
      <c r="L24" s="28">
        <v>110974.53</v>
      </c>
      <c r="M24" s="29">
        <v>16742</v>
      </c>
      <c r="N24" s="23">
        <v>45548</v>
      </c>
      <c r="O24" s="30" t="s">
        <v>11</v>
      </c>
    </row>
    <row r="25" spans="1:18" s="69" customFormat="1" ht="24.95" customHeight="1">
      <c r="A25" s="17">
        <v>23</v>
      </c>
      <c r="B25" s="28" t="s">
        <v>15</v>
      </c>
      <c r="C25" s="18" t="s">
        <v>320</v>
      </c>
      <c r="D25" s="28">
        <v>1237.5</v>
      </c>
      <c r="E25" s="28" t="s">
        <v>15</v>
      </c>
      <c r="F25" s="28" t="s">
        <v>15</v>
      </c>
      <c r="G25" s="29">
        <v>322</v>
      </c>
      <c r="H25" s="21">
        <v>3</v>
      </c>
      <c r="I25" s="22">
        <f t="shared" si="2"/>
        <v>107.33333333333333</v>
      </c>
      <c r="J25" s="22">
        <v>3</v>
      </c>
      <c r="K25" s="21" t="s">
        <v>15</v>
      </c>
      <c r="L25" s="28">
        <v>131704.35999999999</v>
      </c>
      <c r="M25" s="29">
        <v>19524</v>
      </c>
      <c r="N25" s="23">
        <v>45205</v>
      </c>
      <c r="O25" s="30" t="s">
        <v>63</v>
      </c>
    </row>
    <row r="26" spans="1:18" s="69" customFormat="1" ht="24.95" customHeight="1">
      <c r="A26" s="17">
        <v>24</v>
      </c>
      <c r="B26" s="71">
        <v>11</v>
      </c>
      <c r="C26" s="18" t="s">
        <v>301</v>
      </c>
      <c r="D26" s="28">
        <v>852.8</v>
      </c>
      <c r="E26" s="28">
        <v>8490.56</v>
      </c>
      <c r="F26" s="20">
        <f>(D26-E26)/E26</f>
        <v>-0.89955903968642814</v>
      </c>
      <c r="G26" s="29">
        <v>145</v>
      </c>
      <c r="H26" s="21">
        <v>10</v>
      </c>
      <c r="I26" s="22">
        <f t="shared" si="2"/>
        <v>14.5</v>
      </c>
      <c r="J26" s="22">
        <v>4</v>
      </c>
      <c r="K26" s="21">
        <v>2</v>
      </c>
      <c r="L26" s="28">
        <v>9343.36</v>
      </c>
      <c r="M26" s="29">
        <v>1445</v>
      </c>
      <c r="N26" s="23">
        <v>45583</v>
      </c>
      <c r="O26" s="30" t="s">
        <v>14</v>
      </c>
    </row>
    <row r="27" spans="1:18" s="69" customFormat="1" ht="24.95" customHeight="1">
      <c r="A27" s="17">
        <v>25</v>
      </c>
      <c r="B27" s="22">
        <v>15</v>
      </c>
      <c r="C27" s="18" t="s">
        <v>287</v>
      </c>
      <c r="D27" s="28">
        <v>803</v>
      </c>
      <c r="E27" s="28">
        <v>3267</v>
      </c>
      <c r="F27" s="20">
        <f>(D27-E27)/E27</f>
        <v>-0.75420875420875422</v>
      </c>
      <c r="G27" s="29">
        <v>119</v>
      </c>
      <c r="H27" s="20" t="s">
        <v>15</v>
      </c>
      <c r="I27" s="20" t="s">
        <v>15</v>
      </c>
      <c r="J27" s="22">
        <v>4</v>
      </c>
      <c r="K27" s="21">
        <v>3</v>
      </c>
      <c r="L27" s="28">
        <v>14386</v>
      </c>
      <c r="M27" s="29">
        <v>2265</v>
      </c>
      <c r="N27" s="23">
        <v>45576</v>
      </c>
      <c r="O27" s="30" t="s">
        <v>13</v>
      </c>
    </row>
    <row r="28" spans="1:18" s="69" customFormat="1" ht="24.95" customHeight="1">
      <c r="A28" s="17">
        <v>26</v>
      </c>
      <c r="B28" s="22">
        <v>18</v>
      </c>
      <c r="C28" s="18" t="s">
        <v>289</v>
      </c>
      <c r="D28" s="28">
        <v>731.1</v>
      </c>
      <c r="E28" s="28">
        <v>2201.67</v>
      </c>
      <c r="F28" s="20">
        <f>(D28-E28)/E28</f>
        <v>-0.6679338865497555</v>
      </c>
      <c r="G28" s="29">
        <v>123</v>
      </c>
      <c r="H28" s="21">
        <v>6</v>
      </c>
      <c r="I28" s="22">
        <f t="shared" ref="I28:I34" si="3">G28/H28</f>
        <v>20.5</v>
      </c>
      <c r="J28" s="22">
        <v>3</v>
      </c>
      <c r="K28" s="21">
        <v>3</v>
      </c>
      <c r="L28" s="28">
        <v>16516.29</v>
      </c>
      <c r="M28" s="29">
        <v>2473</v>
      </c>
      <c r="N28" s="23">
        <v>45576</v>
      </c>
      <c r="O28" s="30" t="s">
        <v>61</v>
      </c>
    </row>
    <row r="29" spans="1:18" s="69" customFormat="1" ht="24.95" customHeight="1">
      <c r="A29" s="17">
        <v>27</v>
      </c>
      <c r="B29" s="21" t="s">
        <v>15</v>
      </c>
      <c r="C29" s="18" t="s">
        <v>321</v>
      </c>
      <c r="D29" s="28">
        <v>724.3</v>
      </c>
      <c r="E29" s="28" t="s">
        <v>15</v>
      </c>
      <c r="F29" s="72" t="s">
        <v>15</v>
      </c>
      <c r="G29" s="29">
        <v>198</v>
      </c>
      <c r="H29" s="21">
        <v>3</v>
      </c>
      <c r="I29" s="22">
        <f t="shared" si="3"/>
        <v>66</v>
      </c>
      <c r="J29" s="22">
        <v>3</v>
      </c>
      <c r="K29" s="21" t="s">
        <v>15</v>
      </c>
      <c r="L29" s="28">
        <v>420532.41</v>
      </c>
      <c r="M29" s="29">
        <v>63458</v>
      </c>
      <c r="N29" s="23">
        <v>45592</v>
      </c>
      <c r="O29" s="30" t="s">
        <v>63</v>
      </c>
    </row>
    <row r="30" spans="1:18" s="24" customFormat="1" ht="24.95" customHeight="1">
      <c r="A30" s="17">
        <v>28</v>
      </c>
      <c r="B30" s="22">
        <v>21</v>
      </c>
      <c r="C30" s="18" t="s">
        <v>258</v>
      </c>
      <c r="D30" s="28">
        <v>716.55</v>
      </c>
      <c r="E30" s="28">
        <v>1559.39</v>
      </c>
      <c r="F30" s="20">
        <f>(D30-E30)/E30</f>
        <v>-0.5404933980594977</v>
      </c>
      <c r="G30" s="29">
        <v>139</v>
      </c>
      <c r="H30" s="21">
        <v>7</v>
      </c>
      <c r="I30" s="22">
        <f t="shared" si="3"/>
        <v>19.857142857142858</v>
      </c>
      <c r="J30" s="22">
        <v>1</v>
      </c>
      <c r="K30" s="21">
        <v>6</v>
      </c>
      <c r="L30" s="28">
        <v>46210.7</v>
      </c>
      <c r="M30" s="29">
        <v>8159</v>
      </c>
      <c r="N30" s="23">
        <v>45555</v>
      </c>
      <c r="O30" s="30" t="s">
        <v>259</v>
      </c>
      <c r="R30" s="17"/>
    </row>
    <row r="31" spans="1:18" s="24" customFormat="1" ht="24.95" customHeight="1">
      <c r="A31" s="17">
        <v>29</v>
      </c>
      <c r="B31" s="28" t="s">
        <v>15</v>
      </c>
      <c r="C31" s="18" t="s">
        <v>203</v>
      </c>
      <c r="D31" s="28">
        <v>702.83</v>
      </c>
      <c r="E31" s="28" t="s">
        <v>15</v>
      </c>
      <c r="F31" s="28" t="s">
        <v>15</v>
      </c>
      <c r="G31" s="29">
        <v>169</v>
      </c>
      <c r="H31" s="21">
        <v>3</v>
      </c>
      <c r="I31" s="22">
        <f t="shared" si="3"/>
        <v>56.333333333333336</v>
      </c>
      <c r="J31" s="22">
        <v>3</v>
      </c>
      <c r="K31" s="21" t="s">
        <v>15</v>
      </c>
      <c r="L31" s="28">
        <v>142024.56</v>
      </c>
      <c r="M31" s="29">
        <v>20080</v>
      </c>
      <c r="N31" s="23">
        <v>45520</v>
      </c>
      <c r="O31" s="30" t="s">
        <v>18</v>
      </c>
      <c r="R31" s="17"/>
    </row>
    <row r="32" spans="1:18" s="24" customFormat="1" ht="24.95" customHeight="1">
      <c r="A32" s="17">
        <v>30</v>
      </c>
      <c r="B32" s="71">
        <v>22</v>
      </c>
      <c r="C32" s="18" t="s">
        <v>303</v>
      </c>
      <c r="D32" s="28">
        <v>700.8</v>
      </c>
      <c r="E32" s="28">
        <v>1177.5</v>
      </c>
      <c r="F32" s="20">
        <f>(D32-E32)/E32</f>
        <v>-0.40484076433121025</v>
      </c>
      <c r="G32" s="29">
        <v>111</v>
      </c>
      <c r="H32" s="21">
        <v>10</v>
      </c>
      <c r="I32" s="22">
        <f t="shared" si="3"/>
        <v>11.1</v>
      </c>
      <c r="J32" s="22">
        <v>7</v>
      </c>
      <c r="K32" s="21">
        <v>2</v>
      </c>
      <c r="L32" s="28">
        <v>1885.3</v>
      </c>
      <c r="M32" s="29" t="s">
        <v>317</v>
      </c>
      <c r="N32" s="23">
        <v>45583</v>
      </c>
      <c r="O32" s="30" t="s">
        <v>25</v>
      </c>
      <c r="R32" s="17"/>
    </row>
    <row r="33" spans="1:18" s="24" customFormat="1" ht="24.95" customHeight="1">
      <c r="A33" s="17">
        <v>31</v>
      </c>
      <c r="B33" s="28" t="s">
        <v>15</v>
      </c>
      <c r="C33" s="18" t="s">
        <v>246</v>
      </c>
      <c r="D33" s="28">
        <v>675.68</v>
      </c>
      <c r="E33" s="28" t="s">
        <v>15</v>
      </c>
      <c r="F33" s="72" t="s">
        <v>15</v>
      </c>
      <c r="G33" s="29">
        <v>159</v>
      </c>
      <c r="H33" s="21">
        <v>4</v>
      </c>
      <c r="I33" s="22">
        <f t="shared" si="3"/>
        <v>39.75</v>
      </c>
      <c r="J33" s="22">
        <v>4</v>
      </c>
      <c r="K33" s="21" t="s">
        <v>15</v>
      </c>
      <c r="L33" s="28">
        <v>64506.47</v>
      </c>
      <c r="M33" s="29">
        <v>8839</v>
      </c>
      <c r="N33" s="23">
        <v>45548</v>
      </c>
      <c r="O33" s="30" t="s">
        <v>63</v>
      </c>
      <c r="R33" s="17"/>
    </row>
    <row r="34" spans="1:18" s="24" customFormat="1" ht="24.95" customHeight="1">
      <c r="A34" s="17">
        <v>32</v>
      </c>
      <c r="B34" s="21" t="s">
        <v>15</v>
      </c>
      <c r="C34" s="18" t="s">
        <v>166</v>
      </c>
      <c r="D34" s="28">
        <v>324</v>
      </c>
      <c r="E34" s="28" t="s">
        <v>15</v>
      </c>
      <c r="F34" s="20" t="s">
        <v>15</v>
      </c>
      <c r="G34" s="29">
        <v>162</v>
      </c>
      <c r="H34" s="21">
        <v>1</v>
      </c>
      <c r="I34" s="22">
        <f t="shared" si="3"/>
        <v>162</v>
      </c>
      <c r="J34" s="22">
        <v>1</v>
      </c>
      <c r="K34" s="21" t="s">
        <v>15</v>
      </c>
      <c r="L34" s="28">
        <v>94036.73</v>
      </c>
      <c r="M34" s="29">
        <v>13632</v>
      </c>
      <c r="N34" s="23">
        <v>45492</v>
      </c>
      <c r="O34" s="30" t="s">
        <v>66</v>
      </c>
      <c r="R34" s="17"/>
    </row>
    <row r="35" spans="1:18" s="24" customFormat="1" ht="24.95" customHeight="1">
      <c r="A35" s="17">
        <v>33</v>
      </c>
      <c r="B35" s="22">
        <v>29</v>
      </c>
      <c r="C35" s="18" t="s">
        <v>249</v>
      </c>
      <c r="D35" s="28">
        <v>323</v>
      </c>
      <c r="E35" s="28">
        <v>214</v>
      </c>
      <c r="F35" s="20">
        <f>(D35-E35)/E35</f>
        <v>0.50934579439252337</v>
      </c>
      <c r="G35" s="29">
        <v>118</v>
      </c>
      <c r="H35" s="20" t="s">
        <v>15</v>
      </c>
      <c r="I35" s="20" t="s">
        <v>15</v>
      </c>
      <c r="J35" s="22">
        <v>3</v>
      </c>
      <c r="K35" s="21">
        <v>7</v>
      </c>
      <c r="L35" s="28">
        <v>7441</v>
      </c>
      <c r="M35" s="29">
        <v>1663</v>
      </c>
      <c r="N35" s="23">
        <v>45548</v>
      </c>
      <c r="O35" s="30" t="s">
        <v>13</v>
      </c>
      <c r="R35" s="17"/>
    </row>
    <row r="36" spans="1:18" s="24" customFormat="1" ht="24.95" customHeight="1">
      <c r="A36" s="17">
        <v>34</v>
      </c>
      <c r="B36" s="71">
        <v>34</v>
      </c>
      <c r="C36" s="18" t="s">
        <v>104</v>
      </c>
      <c r="D36" s="28">
        <v>276</v>
      </c>
      <c r="E36" s="28">
        <v>152</v>
      </c>
      <c r="F36" s="20">
        <f>(D36-E36)/E36</f>
        <v>0.81578947368421051</v>
      </c>
      <c r="G36" s="29">
        <v>73</v>
      </c>
      <c r="H36" s="21">
        <v>1</v>
      </c>
      <c r="I36" s="22">
        <f>G36/H36</f>
        <v>73</v>
      </c>
      <c r="J36" s="22">
        <v>1</v>
      </c>
      <c r="K36" s="21" t="s">
        <v>15</v>
      </c>
      <c r="L36" s="28">
        <v>139009</v>
      </c>
      <c r="M36" s="29">
        <v>26939</v>
      </c>
      <c r="N36" s="23">
        <v>45331</v>
      </c>
      <c r="O36" s="30" t="s">
        <v>11</v>
      </c>
      <c r="R36" s="17"/>
    </row>
    <row r="37" spans="1:18" s="24" customFormat="1" ht="24.95" customHeight="1">
      <c r="A37" s="17">
        <v>35</v>
      </c>
      <c r="B37" s="28" t="s">
        <v>15</v>
      </c>
      <c r="C37" s="18" t="s">
        <v>165</v>
      </c>
      <c r="D37" s="28">
        <v>231</v>
      </c>
      <c r="E37" s="28" t="s">
        <v>15</v>
      </c>
      <c r="F37" s="28" t="s">
        <v>15</v>
      </c>
      <c r="G37" s="29">
        <v>31</v>
      </c>
      <c r="H37" s="21">
        <v>1</v>
      </c>
      <c r="I37" s="22">
        <f>G37/H37</f>
        <v>31</v>
      </c>
      <c r="J37" s="22">
        <v>1</v>
      </c>
      <c r="K37" s="21" t="s">
        <v>15</v>
      </c>
      <c r="L37" s="28">
        <v>162490.94</v>
      </c>
      <c r="M37" s="29">
        <v>23728</v>
      </c>
      <c r="N37" s="23">
        <v>45492</v>
      </c>
      <c r="O37" s="30" t="s">
        <v>66</v>
      </c>
      <c r="R37" s="17"/>
    </row>
    <row r="38" spans="1:18" s="24" customFormat="1" ht="24.95" customHeight="1">
      <c r="A38" s="17">
        <v>36</v>
      </c>
      <c r="B38" s="28" t="s">
        <v>15</v>
      </c>
      <c r="C38" s="18" t="s">
        <v>318</v>
      </c>
      <c r="D38" s="28">
        <v>124.4</v>
      </c>
      <c r="E38" s="28" t="s">
        <v>15</v>
      </c>
      <c r="F38" s="20" t="s">
        <v>15</v>
      </c>
      <c r="G38" s="29">
        <v>16</v>
      </c>
      <c r="H38" s="21">
        <v>1</v>
      </c>
      <c r="I38" s="22">
        <f>G38/H38</f>
        <v>16</v>
      </c>
      <c r="J38" s="22">
        <v>1</v>
      </c>
      <c r="K38" s="21" t="s">
        <v>15</v>
      </c>
      <c r="L38" s="28">
        <v>7686.63</v>
      </c>
      <c r="M38" s="29">
        <v>1209</v>
      </c>
      <c r="N38" s="23">
        <v>44655</v>
      </c>
      <c r="O38" s="30" t="s">
        <v>25</v>
      </c>
      <c r="R38" s="17"/>
    </row>
    <row r="39" spans="1:18" s="24" customFormat="1" ht="24.95" customHeight="1">
      <c r="A39" s="17">
        <v>37</v>
      </c>
      <c r="B39" s="28" t="s">
        <v>15</v>
      </c>
      <c r="C39" s="18" t="s">
        <v>314</v>
      </c>
      <c r="D39" s="28">
        <v>122</v>
      </c>
      <c r="E39" s="28" t="s">
        <v>15</v>
      </c>
      <c r="F39" s="20" t="s">
        <v>15</v>
      </c>
      <c r="G39" s="29">
        <v>26</v>
      </c>
      <c r="H39" s="21">
        <v>1</v>
      </c>
      <c r="I39" s="22">
        <f>G39/H39</f>
        <v>26</v>
      </c>
      <c r="J39" s="22">
        <v>1</v>
      </c>
      <c r="K39" s="21" t="s">
        <v>15</v>
      </c>
      <c r="L39" s="28">
        <v>12606</v>
      </c>
      <c r="M39" s="29">
        <v>2555</v>
      </c>
      <c r="N39" s="23">
        <v>43448</v>
      </c>
      <c r="O39" s="30" t="s">
        <v>14</v>
      </c>
      <c r="R39" s="17"/>
    </row>
    <row r="40" spans="1:18" s="24" customFormat="1" ht="24.95" customHeight="1">
      <c r="A40" s="17">
        <v>38</v>
      </c>
      <c r="B40" s="22">
        <v>25</v>
      </c>
      <c r="C40" s="18" t="s">
        <v>280</v>
      </c>
      <c r="D40" s="28">
        <v>80.5</v>
      </c>
      <c r="E40" s="28">
        <v>449.42</v>
      </c>
      <c r="F40" s="20">
        <f>(D40-E40)/E40</f>
        <v>-0.82088024564994888</v>
      </c>
      <c r="G40" s="29">
        <v>20</v>
      </c>
      <c r="H40" s="21">
        <v>9</v>
      </c>
      <c r="I40" s="22">
        <f>G40/H40</f>
        <v>2.2222222222222223</v>
      </c>
      <c r="J40" s="22">
        <v>2</v>
      </c>
      <c r="K40" s="21">
        <v>4</v>
      </c>
      <c r="L40" s="28">
        <v>10531.26</v>
      </c>
      <c r="M40" s="29">
        <v>2011</v>
      </c>
      <c r="N40" s="23">
        <v>45569</v>
      </c>
      <c r="O40" s="30" t="s">
        <v>281</v>
      </c>
      <c r="R40" s="17"/>
    </row>
    <row r="41" spans="1:18" s="24" customFormat="1" ht="24.95" customHeight="1">
      <c r="A41" s="17">
        <v>39</v>
      </c>
      <c r="B41" s="22">
        <v>33</v>
      </c>
      <c r="C41" s="18" t="s">
        <v>283</v>
      </c>
      <c r="D41" s="28">
        <v>52</v>
      </c>
      <c r="E41" s="28">
        <v>153</v>
      </c>
      <c r="F41" s="20">
        <f>(D41-E41)/E41</f>
        <v>-0.66013071895424835</v>
      </c>
      <c r="G41" s="29">
        <v>10</v>
      </c>
      <c r="H41" s="21">
        <v>1</v>
      </c>
      <c r="I41" s="22">
        <v>10</v>
      </c>
      <c r="J41" s="22">
        <v>1</v>
      </c>
      <c r="K41" s="21">
        <v>4</v>
      </c>
      <c r="L41" s="28">
        <v>1273.79</v>
      </c>
      <c r="M41" s="29">
        <v>237</v>
      </c>
      <c r="N41" s="23">
        <v>45569</v>
      </c>
      <c r="O41" s="30" t="s">
        <v>217</v>
      </c>
      <c r="R41" s="17"/>
    </row>
    <row r="42" spans="1:18" s="24" customFormat="1" ht="24.95" customHeight="1">
      <c r="A42" s="17">
        <v>40</v>
      </c>
      <c r="B42" s="71">
        <v>19</v>
      </c>
      <c r="C42" s="18" t="s">
        <v>302</v>
      </c>
      <c r="D42" s="28">
        <v>28</v>
      </c>
      <c r="E42" s="28">
        <v>1975</v>
      </c>
      <c r="F42" s="20">
        <f>(D42-E42)/E42</f>
        <v>-0.98582278481012653</v>
      </c>
      <c r="G42" s="29">
        <v>4</v>
      </c>
      <c r="H42" s="22" t="s">
        <v>15</v>
      </c>
      <c r="I42" s="22" t="s">
        <v>15</v>
      </c>
      <c r="J42" s="22">
        <v>1</v>
      </c>
      <c r="K42" s="21">
        <v>2</v>
      </c>
      <c r="L42" s="28">
        <v>2017</v>
      </c>
      <c r="M42" s="29">
        <v>302</v>
      </c>
      <c r="N42" s="23">
        <v>45583</v>
      </c>
      <c r="O42" s="30" t="s">
        <v>13</v>
      </c>
      <c r="R42" s="17"/>
    </row>
    <row r="43" spans="1:18" s="24" customFormat="1" ht="24.95" customHeight="1">
      <c r="A43" s="17">
        <v>41</v>
      </c>
      <c r="B43" s="28" t="s">
        <v>15</v>
      </c>
      <c r="C43" s="18" t="s">
        <v>94</v>
      </c>
      <c r="D43" s="28">
        <v>25</v>
      </c>
      <c r="E43" s="28" t="s">
        <v>15</v>
      </c>
      <c r="F43" s="20" t="s">
        <v>15</v>
      </c>
      <c r="G43" s="29">
        <v>5</v>
      </c>
      <c r="H43" s="21">
        <v>1</v>
      </c>
      <c r="I43" s="22">
        <f>G43/H43</f>
        <v>5</v>
      </c>
      <c r="J43" s="22">
        <v>1</v>
      </c>
      <c r="K43" s="21" t="s">
        <v>15</v>
      </c>
      <c r="L43" s="28">
        <v>6135.2099999999991</v>
      </c>
      <c r="M43" s="29">
        <v>1408</v>
      </c>
      <c r="N43" s="23">
        <v>45422</v>
      </c>
      <c r="O43" s="30" t="s">
        <v>95</v>
      </c>
      <c r="R43" s="17"/>
    </row>
    <row r="44" spans="1:18" s="24" customFormat="1" ht="24.95" customHeight="1">
      <c r="A44" s="17">
        <v>42</v>
      </c>
      <c r="B44" s="28" t="s">
        <v>15</v>
      </c>
      <c r="C44" s="18" t="s">
        <v>291</v>
      </c>
      <c r="D44" s="28">
        <v>10</v>
      </c>
      <c r="E44" s="28" t="s">
        <v>15</v>
      </c>
      <c r="F44" s="72" t="s">
        <v>15</v>
      </c>
      <c r="G44" s="29">
        <v>2</v>
      </c>
      <c r="H44" s="21">
        <v>1</v>
      </c>
      <c r="I44" s="22">
        <f>G44/H44</f>
        <v>2</v>
      </c>
      <c r="J44" s="22">
        <v>1</v>
      </c>
      <c r="K44" s="21" t="s">
        <v>15</v>
      </c>
      <c r="L44" s="28">
        <v>3476.45</v>
      </c>
      <c r="M44" s="29">
        <v>553</v>
      </c>
      <c r="N44" s="23">
        <v>45576</v>
      </c>
      <c r="O44" s="30" t="s">
        <v>251</v>
      </c>
      <c r="R44" s="17"/>
    </row>
    <row r="45" spans="1:18" s="24" customFormat="1" ht="24.95" customHeight="1">
      <c r="A45" s="17">
        <v>43</v>
      </c>
      <c r="B45" s="71">
        <v>38</v>
      </c>
      <c r="C45" s="18" t="s">
        <v>44</v>
      </c>
      <c r="D45" s="28">
        <v>10</v>
      </c>
      <c r="E45" s="28">
        <v>3</v>
      </c>
      <c r="F45" s="20">
        <f>(D45-E45)/E45</f>
        <v>2.3333333333333335</v>
      </c>
      <c r="G45" s="29">
        <v>2</v>
      </c>
      <c r="H45" s="21">
        <v>1</v>
      </c>
      <c r="I45" s="22">
        <f>G45/H45</f>
        <v>2</v>
      </c>
      <c r="J45" s="22">
        <v>1</v>
      </c>
      <c r="K45" s="21" t="s">
        <v>15</v>
      </c>
      <c r="L45" s="28">
        <v>62139.28</v>
      </c>
      <c r="M45" s="29">
        <v>9837</v>
      </c>
      <c r="N45" s="23">
        <v>45379</v>
      </c>
      <c r="O45" s="30" t="s">
        <v>25</v>
      </c>
      <c r="R45" s="17"/>
    </row>
    <row r="46" spans="1:18" ht="24.95" customHeight="1">
      <c r="A46" s="46"/>
      <c r="B46" s="65" t="s">
        <v>26</v>
      </c>
      <c r="C46" s="48" t="s">
        <v>322</v>
      </c>
      <c r="D46" s="49">
        <f>SUBTOTAL(109,Table132456789101112131415171618281920212223[Pajamos 
(GBO)])</f>
        <v>577709.6</v>
      </c>
      <c r="E46" s="49" t="s">
        <v>312</v>
      </c>
      <c r="F46" s="50">
        <f t="shared" ref="F46" si="4">(D46-E46)/E46</f>
        <v>1.0079998887745738</v>
      </c>
      <c r="G46" s="52">
        <f>SUBTOTAL(109,Table132456789101112131415171618281920212223[Žiūrovų sk. 
(ADM)])</f>
        <v>89564</v>
      </c>
      <c r="H46" s="57"/>
      <c r="I46" s="46"/>
      <c r="J46" s="46"/>
      <c r="K46" s="57"/>
      <c r="L46" s="54"/>
      <c r="M46" s="57"/>
      <c r="N46" s="46"/>
      <c r="O46" s="46" t="s">
        <v>26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FEDE8-8FF6-44CE-BD09-CEED4E158B9C}">
  <dimension ref="A1:R41"/>
  <sheetViews>
    <sheetView topLeftCell="A20" zoomScale="60" zoomScaleNormal="60" workbookViewId="0">
      <selection activeCell="C38" sqref="C38:O38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3" t="s">
        <v>298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71" t="s">
        <v>17</v>
      </c>
      <c r="C3" s="18" t="s">
        <v>292</v>
      </c>
      <c r="D3" s="28">
        <v>73953.100000000006</v>
      </c>
      <c r="E3" s="20" t="s">
        <v>15</v>
      </c>
      <c r="F3" s="20" t="s">
        <v>15</v>
      </c>
      <c r="G3" s="29">
        <v>9424</v>
      </c>
      <c r="H3" s="21">
        <v>263</v>
      </c>
      <c r="I3" s="22">
        <f t="shared" ref="I3:I9" si="0">G3/H3</f>
        <v>35.832699619771866</v>
      </c>
      <c r="J3" s="22">
        <v>15</v>
      </c>
      <c r="K3" s="21">
        <v>1</v>
      </c>
      <c r="L3" s="28">
        <v>78941.399999999994</v>
      </c>
      <c r="M3" s="29">
        <v>10116</v>
      </c>
      <c r="N3" s="23">
        <v>45583</v>
      </c>
      <c r="O3" s="30" t="s">
        <v>259</v>
      </c>
    </row>
    <row r="4" spans="1:15" s="69" customFormat="1" ht="24.95" customHeight="1">
      <c r="A4" s="17">
        <v>2</v>
      </c>
      <c r="B4" s="22">
        <v>3</v>
      </c>
      <c r="C4" s="25" t="s">
        <v>261</v>
      </c>
      <c r="D4" s="19">
        <v>26158.57</v>
      </c>
      <c r="E4" s="19">
        <v>40426.58</v>
      </c>
      <c r="F4" s="20">
        <f>(D4-E4)/E4</f>
        <v>-0.35293636018678803</v>
      </c>
      <c r="G4" s="21">
        <v>4929</v>
      </c>
      <c r="H4" s="21">
        <v>189</v>
      </c>
      <c r="I4" s="22">
        <f t="shared" si="0"/>
        <v>26.079365079365079</v>
      </c>
      <c r="J4" s="22">
        <v>12</v>
      </c>
      <c r="K4" s="22">
        <v>4</v>
      </c>
      <c r="L4" s="19">
        <v>196086</v>
      </c>
      <c r="M4" s="21">
        <v>35769</v>
      </c>
      <c r="N4" s="23">
        <v>45562</v>
      </c>
      <c r="O4" s="53" t="s">
        <v>11</v>
      </c>
    </row>
    <row r="5" spans="1:15" s="69" customFormat="1" ht="24.95" customHeight="1">
      <c r="A5" s="17">
        <v>3</v>
      </c>
      <c r="B5" s="71">
        <v>2</v>
      </c>
      <c r="C5" s="18" t="s">
        <v>294</v>
      </c>
      <c r="D5" s="28">
        <v>24200.3</v>
      </c>
      <c r="E5" s="28">
        <v>40863.879999999997</v>
      </c>
      <c r="F5" s="20">
        <f>(D5-E5)/E5</f>
        <v>-0.40778261878216165</v>
      </c>
      <c r="G5" s="29">
        <v>3446</v>
      </c>
      <c r="H5" s="21">
        <v>146</v>
      </c>
      <c r="I5" s="22">
        <f t="shared" si="0"/>
        <v>23.602739726027398</v>
      </c>
      <c r="J5" s="22">
        <v>23</v>
      </c>
      <c r="K5" s="21">
        <v>2</v>
      </c>
      <c r="L5" s="28">
        <v>59957.53</v>
      </c>
      <c r="M5" s="29">
        <v>8686</v>
      </c>
      <c r="N5" s="23">
        <v>45576</v>
      </c>
      <c r="O5" s="30" t="s">
        <v>295</v>
      </c>
    </row>
    <row r="6" spans="1:15" s="69" customFormat="1" ht="24.95" customHeight="1">
      <c r="A6" s="17">
        <v>4</v>
      </c>
      <c r="B6" s="22" t="s">
        <v>17</v>
      </c>
      <c r="C6" s="18" t="s">
        <v>272</v>
      </c>
      <c r="D6" s="28">
        <v>22742.36</v>
      </c>
      <c r="E6" s="20" t="s">
        <v>15</v>
      </c>
      <c r="F6" s="20" t="s">
        <v>15</v>
      </c>
      <c r="G6" s="29">
        <v>4177</v>
      </c>
      <c r="H6" s="21">
        <v>235</v>
      </c>
      <c r="I6" s="22">
        <f t="shared" si="0"/>
        <v>17.774468085106381</v>
      </c>
      <c r="J6" s="22">
        <v>14</v>
      </c>
      <c r="K6" s="21">
        <v>1</v>
      </c>
      <c r="L6" s="28">
        <v>30747.47</v>
      </c>
      <c r="M6" s="29">
        <v>5982</v>
      </c>
      <c r="N6" s="23">
        <v>45583</v>
      </c>
      <c r="O6" s="30" t="s">
        <v>11</v>
      </c>
    </row>
    <row r="7" spans="1:15" s="69" customFormat="1" ht="24.95" customHeight="1">
      <c r="A7" s="17">
        <v>5</v>
      </c>
      <c r="B7" s="22">
        <v>1</v>
      </c>
      <c r="C7" s="18" t="s">
        <v>271</v>
      </c>
      <c r="D7" s="28">
        <v>17840.91</v>
      </c>
      <c r="E7" s="28">
        <v>48799.7</v>
      </c>
      <c r="F7" s="20">
        <f>(D7-E7)/E7</f>
        <v>-0.63440533445902325</v>
      </c>
      <c r="G7" s="29">
        <v>2559</v>
      </c>
      <c r="H7" s="21">
        <v>129</v>
      </c>
      <c r="I7" s="22">
        <f t="shared" si="0"/>
        <v>19.837209302325583</v>
      </c>
      <c r="J7" s="22">
        <v>13</v>
      </c>
      <c r="K7" s="21">
        <v>3</v>
      </c>
      <c r="L7" s="28">
        <v>260226.97</v>
      </c>
      <c r="M7" s="29">
        <v>33302</v>
      </c>
      <c r="N7" s="23">
        <v>45569</v>
      </c>
      <c r="O7" s="30" t="s">
        <v>12</v>
      </c>
    </row>
    <row r="8" spans="1:15" s="69" customFormat="1" ht="24.95" customHeight="1">
      <c r="A8" s="17">
        <v>6</v>
      </c>
      <c r="B8" s="29" t="s">
        <v>23</v>
      </c>
      <c r="C8" s="18" t="s">
        <v>305</v>
      </c>
      <c r="D8" s="28">
        <v>17268.29</v>
      </c>
      <c r="E8" s="28" t="s">
        <v>15</v>
      </c>
      <c r="F8" s="20" t="s">
        <v>15</v>
      </c>
      <c r="G8" s="29">
        <v>2128</v>
      </c>
      <c r="H8" s="21">
        <v>23</v>
      </c>
      <c r="I8" s="22">
        <f t="shared" si="0"/>
        <v>92.521739130434781</v>
      </c>
      <c r="J8" s="22">
        <v>10</v>
      </c>
      <c r="K8" s="21">
        <v>0</v>
      </c>
      <c r="L8" s="28">
        <v>17268.29</v>
      </c>
      <c r="M8" s="29">
        <v>2128</v>
      </c>
      <c r="N8" s="23" t="s">
        <v>24</v>
      </c>
      <c r="O8" s="30" t="s">
        <v>61</v>
      </c>
    </row>
    <row r="9" spans="1:15" s="69" customFormat="1" ht="24.95" customHeight="1">
      <c r="A9" s="17">
        <v>7</v>
      </c>
      <c r="B9" s="29" t="s">
        <v>17</v>
      </c>
      <c r="C9" s="18" t="s">
        <v>300</v>
      </c>
      <c r="D9" s="28">
        <v>16107.44</v>
      </c>
      <c r="E9" s="28" t="s">
        <v>15</v>
      </c>
      <c r="F9" s="20" t="s">
        <v>15</v>
      </c>
      <c r="G9" s="29">
        <v>2494</v>
      </c>
      <c r="H9" s="21">
        <v>129</v>
      </c>
      <c r="I9" s="22">
        <f t="shared" si="0"/>
        <v>19.333333333333332</v>
      </c>
      <c r="J9" s="22">
        <v>17</v>
      </c>
      <c r="K9" s="21">
        <v>1</v>
      </c>
      <c r="L9" s="28">
        <v>16107.44</v>
      </c>
      <c r="M9" s="29">
        <v>2494</v>
      </c>
      <c r="N9" s="23">
        <v>45583</v>
      </c>
      <c r="O9" s="30" t="s">
        <v>251</v>
      </c>
    </row>
    <row r="10" spans="1:15" s="69" customFormat="1" ht="24.95" customHeight="1">
      <c r="A10" s="17">
        <v>8</v>
      </c>
      <c r="B10" s="22">
        <v>6</v>
      </c>
      <c r="C10" s="18" t="s">
        <v>282</v>
      </c>
      <c r="D10" s="28">
        <v>14753</v>
      </c>
      <c r="E10" s="19">
        <v>19121</v>
      </c>
      <c r="F10" s="20">
        <f>(D10-E10)/E10</f>
        <v>-0.22843993514983527</v>
      </c>
      <c r="G10" s="29">
        <v>3036</v>
      </c>
      <c r="H10" s="20" t="s">
        <v>15</v>
      </c>
      <c r="I10" s="20" t="s">
        <v>15</v>
      </c>
      <c r="J10" s="22">
        <v>15</v>
      </c>
      <c r="K10" s="21">
        <v>2</v>
      </c>
      <c r="L10" s="28">
        <v>37195</v>
      </c>
      <c r="M10" s="29">
        <v>7175</v>
      </c>
      <c r="N10" s="23">
        <v>45576</v>
      </c>
      <c r="O10" s="30" t="s">
        <v>13</v>
      </c>
    </row>
    <row r="11" spans="1:15" s="69" customFormat="1" ht="24.95" customHeight="1">
      <c r="A11" s="17">
        <v>9</v>
      </c>
      <c r="B11" s="22">
        <v>5</v>
      </c>
      <c r="C11" s="25" t="s">
        <v>268</v>
      </c>
      <c r="D11" s="19">
        <v>13868.83</v>
      </c>
      <c r="E11" s="19">
        <v>21834.41</v>
      </c>
      <c r="F11" s="20">
        <f>(D11-E11)/E11</f>
        <v>-0.36481773494223108</v>
      </c>
      <c r="G11" s="21">
        <v>2182</v>
      </c>
      <c r="H11" s="21">
        <v>62</v>
      </c>
      <c r="I11" s="22">
        <f>G11/H11</f>
        <v>35.193548387096776</v>
      </c>
      <c r="J11" s="22">
        <v>9</v>
      </c>
      <c r="K11" s="22">
        <v>4</v>
      </c>
      <c r="L11" s="19">
        <v>95779.810000000012</v>
      </c>
      <c r="M11" s="21">
        <v>14336</v>
      </c>
      <c r="N11" s="23">
        <v>45562</v>
      </c>
      <c r="O11" s="53" t="s">
        <v>14</v>
      </c>
    </row>
    <row r="12" spans="1:15" s="69" customFormat="1" ht="24.95" customHeight="1">
      <c r="A12" s="17">
        <v>10</v>
      </c>
      <c r="B12" s="22">
        <v>4</v>
      </c>
      <c r="C12" s="18" t="s">
        <v>262</v>
      </c>
      <c r="D12" s="28">
        <v>12280.96</v>
      </c>
      <c r="E12" s="28">
        <v>23954.45</v>
      </c>
      <c r="F12" s="20">
        <f>(D12-E12)/E12</f>
        <v>-0.48732031000503045</v>
      </c>
      <c r="G12" s="29">
        <v>1705</v>
      </c>
      <c r="H12" s="21">
        <v>47</v>
      </c>
      <c r="I12" s="22">
        <v>36.276595744680854</v>
      </c>
      <c r="J12" s="22">
        <v>13</v>
      </c>
      <c r="K12" s="21">
        <v>5</v>
      </c>
      <c r="L12" s="28">
        <v>278407.71000000002</v>
      </c>
      <c r="M12" s="29">
        <v>40497</v>
      </c>
      <c r="N12" s="23">
        <v>45555</v>
      </c>
      <c r="O12" s="30" t="s">
        <v>263</v>
      </c>
    </row>
    <row r="13" spans="1:15" s="69" customFormat="1" ht="24.95" customHeight="1">
      <c r="A13" s="17">
        <v>11</v>
      </c>
      <c r="B13" s="29" t="s">
        <v>17</v>
      </c>
      <c r="C13" s="18" t="s">
        <v>301</v>
      </c>
      <c r="D13" s="28">
        <v>8490.56</v>
      </c>
      <c r="E13" s="28" t="s">
        <v>15</v>
      </c>
      <c r="F13" s="20" t="s">
        <v>15</v>
      </c>
      <c r="G13" s="29">
        <v>1300</v>
      </c>
      <c r="H13" s="21">
        <v>103</v>
      </c>
      <c r="I13" s="22">
        <f>G13/H13</f>
        <v>12.621359223300971</v>
      </c>
      <c r="J13" s="22">
        <v>18</v>
      </c>
      <c r="K13" s="21">
        <v>1</v>
      </c>
      <c r="L13" s="28">
        <v>8490.56</v>
      </c>
      <c r="M13" s="29">
        <v>1300</v>
      </c>
      <c r="N13" s="23">
        <v>45583</v>
      </c>
      <c r="O13" s="30" t="s">
        <v>14</v>
      </c>
    </row>
    <row r="14" spans="1:15" s="69" customFormat="1" ht="24.95" customHeight="1">
      <c r="A14" s="17">
        <v>12</v>
      </c>
      <c r="B14" s="22">
        <v>10</v>
      </c>
      <c r="C14" s="18" t="s">
        <v>146</v>
      </c>
      <c r="D14" s="28">
        <v>7675.99</v>
      </c>
      <c r="E14" s="28">
        <v>8072.71</v>
      </c>
      <c r="F14" s="20">
        <f>(D14-E14)/E14</f>
        <v>-4.9143348392299523E-2</v>
      </c>
      <c r="G14" s="29">
        <v>1317</v>
      </c>
      <c r="H14" s="21">
        <v>75</v>
      </c>
      <c r="I14" s="22">
        <f>G14/H14</f>
        <v>17.559999999999999</v>
      </c>
      <c r="J14" s="22">
        <v>9</v>
      </c>
      <c r="K14" s="21">
        <v>16</v>
      </c>
      <c r="L14" s="28">
        <v>1188599.8700000001</v>
      </c>
      <c r="M14" s="29">
        <v>206374</v>
      </c>
      <c r="N14" s="23">
        <v>45478</v>
      </c>
      <c r="O14" s="30" t="s">
        <v>63</v>
      </c>
    </row>
    <row r="15" spans="1:15" s="69" customFormat="1" ht="24.95" customHeight="1">
      <c r="A15" s="17">
        <v>13</v>
      </c>
      <c r="B15" s="22">
        <v>8</v>
      </c>
      <c r="C15" s="18" t="s">
        <v>234</v>
      </c>
      <c r="D15" s="28">
        <v>6029.57</v>
      </c>
      <c r="E15" s="28">
        <v>11351.3</v>
      </c>
      <c r="F15" s="20">
        <f>(D15-E15)/E15</f>
        <v>-0.46882119228634606</v>
      </c>
      <c r="G15" s="29">
        <v>905</v>
      </c>
      <c r="H15" s="21">
        <v>60</v>
      </c>
      <c r="I15" s="22">
        <f>G15/H15</f>
        <v>15.083333333333334</v>
      </c>
      <c r="J15" s="22">
        <v>6</v>
      </c>
      <c r="K15" s="21">
        <v>7</v>
      </c>
      <c r="L15" s="28">
        <v>205483.12</v>
      </c>
      <c r="M15" s="29">
        <v>29984</v>
      </c>
      <c r="N15" s="23">
        <v>45541</v>
      </c>
      <c r="O15" s="30" t="s">
        <v>12</v>
      </c>
    </row>
    <row r="16" spans="1:15" s="69" customFormat="1" ht="24.95" customHeight="1">
      <c r="A16" s="17">
        <v>14</v>
      </c>
      <c r="B16" s="29" t="s">
        <v>23</v>
      </c>
      <c r="C16" s="18" t="s">
        <v>309</v>
      </c>
      <c r="D16" s="28">
        <v>5421.02</v>
      </c>
      <c r="E16" s="28" t="s">
        <v>15</v>
      </c>
      <c r="F16" s="20" t="s">
        <v>15</v>
      </c>
      <c r="G16" s="29">
        <v>681</v>
      </c>
      <c r="H16" s="21">
        <v>5</v>
      </c>
      <c r="I16" s="22">
        <f>G16/H16</f>
        <v>136.19999999999999</v>
      </c>
      <c r="J16" s="22">
        <v>4</v>
      </c>
      <c r="K16" s="21">
        <v>0</v>
      </c>
      <c r="L16" s="28">
        <v>5421.02</v>
      </c>
      <c r="M16" s="29">
        <v>681</v>
      </c>
      <c r="N16" s="23" t="s">
        <v>24</v>
      </c>
      <c r="O16" s="30" t="s">
        <v>14</v>
      </c>
    </row>
    <row r="17" spans="1:18" s="69" customFormat="1" ht="24.95" customHeight="1">
      <c r="A17" s="17">
        <v>15</v>
      </c>
      <c r="B17" s="22">
        <v>9</v>
      </c>
      <c r="C17" s="18" t="s">
        <v>287</v>
      </c>
      <c r="D17" s="28">
        <v>3267</v>
      </c>
      <c r="E17" s="28">
        <v>10311</v>
      </c>
      <c r="F17" s="20">
        <f>(D17-E17)/E17</f>
        <v>-0.68315391329647945</v>
      </c>
      <c r="G17" s="29">
        <v>509</v>
      </c>
      <c r="H17" s="20" t="s">
        <v>15</v>
      </c>
      <c r="I17" s="20" t="s">
        <v>15</v>
      </c>
      <c r="J17" s="22">
        <v>8</v>
      </c>
      <c r="K17" s="21">
        <v>2</v>
      </c>
      <c r="L17" s="28">
        <v>13578</v>
      </c>
      <c r="M17" s="29">
        <v>2146</v>
      </c>
      <c r="N17" s="23">
        <v>45576</v>
      </c>
      <c r="O17" s="30" t="s">
        <v>13</v>
      </c>
    </row>
    <row r="18" spans="1:18" s="69" customFormat="1" ht="24.95" customHeight="1">
      <c r="A18" s="17">
        <v>16</v>
      </c>
      <c r="B18" s="29" t="s">
        <v>23</v>
      </c>
      <c r="C18" s="18" t="s">
        <v>310</v>
      </c>
      <c r="D18" s="28">
        <v>2379.85</v>
      </c>
      <c r="E18" s="28" t="s">
        <v>15</v>
      </c>
      <c r="F18" s="20" t="s">
        <v>15</v>
      </c>
      <c r="G18" s="29">
        <v>448</v>
      </c>
      <c r="H18" s="21">
        <v>14</v>
      </c>
      <c r="I18" s="22">
        <f>G18/H18</f>
        <v>32</v>
      </c>
      <c r="J18" s="22">
        <v>10</v>
      </c>
      <c r="K18" s="21">
        <v>0</v>
      </c>
      <c r="L18" s="28">
        <v>2379.85</v>
      </c>
      <c r="M18" s="29">
        <v>448</v>
      </c>
      <c r="N18" s="23" t="s">
        <v>24</v>
      </c>
      <c r="O18" s="30" t="s">
        <v>63</v>
      </c>
    </row>
    <row r="19" spans="1:18" s="69" customFormat="1" ht="24.95" customHeight="1">
      <c r="A19" s="17">
        <v>17</v>
      </c>
      <c r="B19" s="22">
        <v>12</v>
      </c>
      <c r="C19" s="18" t="s">
        <v>240</v>
      </c>
      <c r="D19" s="28">
        <v>2313.6</v>
      </c>
      <c r="E19" s="28">
        <v>4658.84</v>
      </c>
      <c r="F19" s="20">
        <f>(D19-E19)/E19</f>
        <v>-0.50339569506572457</v>
      </c>
      <c r="G19" s="29">
        <v>317</v>
      </c>
      <c r="H19" s="21">
        <v>17</v>
      </c>
      <c r="I19" s="22">
        <f>G19/H19</f>
        <v>18.647058823529413</v>
      </c>
      <c r="J19" s="22">
        <v>2</v>
      </c>
      <c r="K19" s="21">
        <v>6</v>
      </c>
      <c r="L19" s="28">
        <v>112143.63</v>
      </c>
      <c r="M19" s="29">
        <v>16348</v>
      </c>
      <c r="N19" s="23">
        <v>45548</v>
      </c>
      <c r="O19" s="30" t="s">
        <v>11</v>
      </c>
    </row>
    <row r="20" spans="1:18" s="69" customFormat="1" ht="24.95" customHeight="1">
      <c r="A20" s="17">
        <v>18</v>
      </c>
      <c r="B20" s="22">
        <v>7</v>
      </c>
      <c r="C20" s="18" t="s">
        <v>289</v>
      </c>
      <c r="D20" s="28">
        <v>2201.67</v>
      </c>
      <c r="E20" s="28">
        <v>13463.52</v>
      </c>
      <c r="F20" s="20">
        <f>(D20-E20)/E20</f>
        <v>-0.83647144283218655</v>
      </c>
      <c r="G20" s="29">
        <v>322</v>
      </c>
      <c r="H20" s="21">
        <v>32</v>
      </c>
      <c r="I20" s="22">
        <f>G20/H20</f>
        <v>10.0625</v>
      </c>
      <c r="J20" s="22">
        <v>6</v>
      </c>
      <c r="K20" s="21">
        <v>2</v>
      </c>
      <c r="L20" s="28">
        <v>15785.19</v>
      </c>
      <c r="M20" s="29">
        <v>2350</v>
      </c>
      <c r="N20" s="23">
        <v>45576</v>
      </c>
      <c r="O20" s="30" t="s">
        <v>61</v>
      </c>
    </row>
    <row r="21" spans="1:18" s="69" customFormat="1" ht="24.95" customHeight="1">
      <c r="A21" s="17">
        <v>19</v>
      </c>
      <c r="B21" s="29" t="s">
        <v>17</v>
      </c>
      <c r="C21" s="18" t="s">
        <v>302</v>
      </c>
      <c r="D21" s="28">
        <v>1975</v>
      </c>
      <c r="E21" s="28" t="s">
        <v>15</v>
      </c>
      <c r="F21" s="20" t="s">
        <v>15</v>
      </c>
      <c r="G21" s="29">
        <v>296</v>
      </c>
      <c r="H21" s="21" t="s">
        <v>15</v>
      </c>
      <c r="I21" s="22" t="s">
        <v>15</v>
      </c>
      <c r="J21" s="22">
        <v>11</v>
      </c>
      <c r="K21" s="21">
        <v>1</v>
      </c>
      <c r="L21" s="28">
        <v>1975</v>
      </c>
      <c r="M21" s="29">
        <v>296</v>
      </c>
      <c r="N21" s="23">
        <v>45583</v>
      </c>
      <c r="O21" s="30" t="s">
        <v>13</v>
      </c>
    </row>
    <row r="22" spans="1:18" s="69" customFormat="1" ht="24.95" customHeight="1">
      <c r="A22" s="17">
        <v>20</v>
      </c>
      <c r="B22" s="22">
        <v>19</v>
      </c>
      <c r="C22" s="18" t="s">
        <v>106</v>
      </c>
      <c r="D22" s="28">
        <v>1581.98</v>
      </c>
      <c r="E22" s="28">
        <v>1214.9000000000001</v>
      </c>
      <c r="F22" s="20">
        <f>(D22-E22)/E22</f>
        <v>0.30214832496501759</v>
      </c>
      <c r="G22" s="29">
        <v>294</v>
      </c>
      <c r="H22" s="21">
        <v>16</v>
      </c>
      <c r="I22" s="22">
        <f t="shared" ref="I22:I30" si="1">G22/H22</f>
        <v>18.375</v>
      </c>
      <c r="J22" s="22">
        <v>2</v>
      </c>
      <c r="K22" s="21">
        <v>19</v>
      </c>
      <c r="L22" s="28">
        <v>1306885.3600000001</v>
      </c>
      <c r="M22" s="29">
        <v>226260</v>
      </c>
      <c r="N22" s="23">
        <v>45457</v>
      </c>
      <c r="O22" s="30" t="s">
        <v>18</v>
      </c>
    </row>
    <row r="23" spans="1:18" s="69" customFormat="1" ht="24.95" customHeight="1">
      <c r="A23" s="17">
        <v>21</v>
      </c>
      <c r="B23" s="22">
        <v>16</v>
      </c>
      <c r="C23" s="18" t="s">
        <v>258</v>
      </c>
      <c r="D23" s="28">
        <v>1559.39</v>
      </c>
      <c r="E23" s="28">
        <v>3161.31</v>
      </c>
      <c r="F23" s="20">
        <f>(D23-E23)/E23</f>
        <v>-0.50672664180355609</v>
      </c>
      <c r="G23" s="29">
        <v>272</v>
      </c>
      <c r="H23" s="21">
        <v>30</v>
      </c>
      <c r="I23" s="22">
        <f t="shared" si="1"/>
        <v>9.0666666666666664</v>
      </c>
      <c r="J23" s="22">
        <v>6</v>
      </c>
      <c r="K23" s="21">
        <v>5</v>
      </c>
      <c r="L23" s="28">
        <v>45494.15</v>
      </c>
      <c r="M23" s="29">
        <v>8020</v>
      </c>
      <c r="N23" s="23">
        <v>45555</v>
      </c>
      <c r="O23" s="30" t="s">
        <v>259</v>
      </c>
    </row>
    <row r="24" spans="1:18" s="69" customFormat="1" ht="24.95" customHeight="1">
      <c r="A24" s="17">
        <v>22</v>
      </c>
      <c r="B24" s="29" t="s">
        <v>17</v>
      </c>
      <c r="C24" s="18" t="s">
        <v>303</v>
      </c>
      <c r="D24" s="28">
        <v>1177.5</v>
      </c>
      <c r="E24" s="28" t="s">
        <v>15</v>
      </c>
      <c r="F24" s="20" t="s">
        <v>15</v>
      </c>
      <c r="G24" s="29">
        <v>225</v>
      </c>
      <c r="H24" s="21">
        <v>12</v>
      </c>
      <c r="I24" s="22">
        <f t="shared" si="1"/>
        <v>18.75</v>
      </c>
      <c r="J24" s="22">
        <v>7</v>
      </c>
      <c r="K24" s="21">
        <v>1</v>
      </c>
      <c r="L24" s="28">
        <v>1177.5</v>
      </c>
      <c r="M24" s="29" t="s">
        <v>307</v>
      </c>
      <c r="N24" s="23">
        <v>45583</v>
      </c>
      <c r="O24" s="30" t="s">
        <v>25</v>
      </c>
    </row>
    <row r="25" spans="1:18" s="69" customFormat="1" ht="24.95" customHeight="1">
      <c r="A25" s="17">
        <v>23</v>
      </c>
      <c r="B25" s="22">
        <v>18</v>
      </c>
      <c r="C25" s="18" t="s">
        <v>191</v>
      </c>
      <c r="D25" s="28">
        <v>887.5</v>
      </c>
      <c r="E25" s="28">
        <v>2361.4</v>
      </c>
      <c r="F25" s="20">
        <f>(D25-E25)/E25</f>
        <v>-0.62416363174388079</v>
      </c>
      <c r="G25" s="29">
        <v>115</v>
      </c>
      <c r="H25" s="21">
        <v>5</v>
      </c>
      <c r="I25" s="22">
        <f t="shared" si="1"/>
        <v>23</v>
      </c>
      <c r="J25" s="22">
        <v>2</v>
      </c>
      <c r="K25" s="21">
        <v>11</v>
      </c>
      <c r="L25" s="28">
        <v>855616.09</v>
      </c>
      <c r="M25" s="29">
        <v>118770</v>
      </c>
      <c r="N25" s="23">
        <v>45513</v>
      </c>
      <c r="O25" s="30" t="s">
        <v>61</v>
      </c>
    </row>
    <row r="26" spans="1:18" s="69" customFormat="1" ht="24.95" customHeight="1">
      <c r="A26" s="17">
        <v>24</v>
      </c>
      <c r="B26" s="29" t="s">
        <v>23</v>
      </c>
      <c r="C26" s="18" t="s">
        <v>304</v>
      </c>
      <c r="D26" s="28">
        <v>706.52</v>
      </c>
      <c r="E26" s="28" t="s">
        <v>15</v>
      </c>
      <c r="F26" s="20" t="s">
        <v>15</v>
      </c>
      <c r="G26" s="29">
        <v>106</v>
      </c>
      <c r="H26" s="21">
        <v>7</v>
      </c>
      <c r="I26" s="22">
        <f t="shared" si="1"/>
        <v>15.142857142857142</v>
      </c>
      <c r="J26" s="22">
        <v>7</v>
      </c>
      <c r="K26" s="21">
        <v>0</v>
      </c>
      <c r="L26" s="28">
        <v>706.52</v>
      </c>
      <c r="M26" s="29">
        <v>106</v>
      </c>
      <c r="N26" s="23" t="s">
        <v>24</v>
      </c>
      <c r="O26" s="30" t="s">
        <v>11</v>
      </c>
    </row>
    <row r="27" spans="1:18" s="69" customFormat="1" ht="24.95" customHeight="1">
      <c r="A27" s="17">
        <v>25</v>
      </c>
      <c r="B27" s="22">
        <v>17</v>
      </c>
      <c r="C27" s="18" t="s">
        <v>280</v>
      </c>
      <c r="D27" s="28">
        <v>449.42</v>
      </c>
      <c r="E27" s="28">
        <v>2562.61</v>
      </c>
      <c r="F27" s="20">
        <f>(D27-E27)/E27</f>
        <v>-0.82462411369658273</v>
      </c>
      <c r="G27" s="29">
        <v>106</v>
      </c>
      <c r="H27" s="21">
        <v>13</v>
      </c>
      <c r="I27" s="22">
        <f t="shared" si="1"/>
        <v>8.1538461538461533</v>
      </c>
      <c r="J27" s="22">
        <v>5</v>
      </c>
      <c r="K27" s="21">
        <v>3</v>
      </c>
      <c r="L27" s="28">
        <v>10450.76</v>
      </c>
      <c r="M27" s="29">
        <v>1991</v>
      </c>
      <c r="N27" s="23">
        <v>45569</v>
      </c>
      <c r="O27" s="30" t="s">
        <v>281</v>
      </c>
    </row>
    <row r="28" spans="1:18" s="69" customFormat="1" ht="24.95" customHeight="1">
      <c r="A28" s="17">
        <v>26</v>
      </c>
      <c r="B28" s="28" t="s">
        <v>15</v>
      </c>
      <c r="C28" s="18" t="s">
        <v>47</v>
      </c>
      <c r="D28" s="28">
        <v>421.65</v>
      </c>
      <c r="E28" s="28" t="s">
        <v>15</v>
      </c>
      <c r="F28" s="20" t="s">
        <v>15</v>
      </c>
      <c r="G28" s="29">
        <v>104</v>
      </c>
      <c r="H28" s="21">
        <v>1</v>
      </c>
      <c r="I28" s="22">
        <f t="shared" si="1"/>
        <v>104</v>
      </c>
      <c r="J28" s="22">
        <v>1</v>
      </c>
      <c r="K28" s="21" t="s">
        <v>15</v>
      </c>
      <c r="L28" s="28">
        <v>24937.91</v>
      </c>
      <c r="M28" s="29">
        <v>4174</v>
      </c>
      <c r="N28" s="23">
        <v>45359</v>
      </c>
      <c r="O28" s="30" t="s">
        <v>66</v>
      </c>
    </row>
    <row r="29" spans="1:18" s="69" customFormat="1" ht="24.95" customHeight="1">
      <c r="A29" s="17">
        <v>27</v>
      </c>
      <c r="B29" s="71">
        <v>13</v>
      </c>
      <c r="C29" s="18" t="s">
        <v>293</v>
      </c>
      <c r="D29" s="28">
        <v>418.61</v>
      </c>
      <c r="E29" s="28">
        <v>4295.42</v>
      </c>
      <c r="F29" s="20">
        <f>(D29-E29)/E29</f>
        <v>-0.902545036341033</v>
      </c>
      <c r="G29" s="29">
        <v>69</v>
      </c>
      <c r="H29" s="21">
        <v>10</v>
      </c>
      <c r="I29" s="22">
        <f t="shared" si="1"/>
        <v>6.9</v>
      </c>
      <c r="J29" s="22">
        <v>2</v>
      </c>
      <c r="K29" s="21">
        <v>2</v>
      </c>
      <c r="L29" s="28">
        <v>4714</v>
      </c>
      <c r="M29" s="29">
        <v>727</v>
      </c>
      <c r="N29" s="23">
        <v>45576</v>
      </c>
      <c r="O29" s="30" t="s">
        <v>265</v>
      </c>
    </row>
    <row r="30" spans="1:18" s="24" customFormat="1" ht="24.95" customHeight="1">
      <c r="A30" s="17">
        <v>28</v>
      </c>
      <c r="B30" s="22">
        <v>24</v>
      </c>
      <c r="C30" s="18" t="s">
        <v>239</v>
      </c>
      <c r="D30" s="28">
        <v>257.49</v>
      </c>
      <c r="E30" s="28">
        <v>281</v>
      </c>
      <c r="F30" s="20">
        <f>(D30-E30)/E30</f>
        <v>-8.3665480427046232E-2</v>
      </c>
      <c r="G30" s="29">
        <v>83</v>
      </c>
      <c r="H30" s="21">
        <v>3</v>
      </c>
      <c r="I30" s="22">
        <f t="shared" si="1"/>
        <v>27.666666666666668</v>
      </c>
      <c r="J30" s="22">
        <v>2</v>
      </c>
      <c r="K30" s="21">
        <v>7</v>
      </c>
      <c r="L30" s="28">
        <v>42418.039999999994</v>
      </c>
      <c r="M30" s="29">
        <v>8297</v>
      </c>
      <c r="N30" s="23">
        <v>45541</v>
      </c>
      <c r="O30" s="30" t="s">
        <v>14</v>
      </c>
      <c r="R30" s="17"/>
    </row>
    <row r="31" spans="1:18" s="24" customFormat="1" ht="24.95" customHeight="1">
      <c r="A31" s="17">
        <v>29</v>
      </c>
      <c r="B31" s="22">
        <v>27</v>
      </c>
      <c r="C31" s="18" t="s">
        <v>249</v>
      </c>
      <c r="D31" s="28">
        <v>214</v>
      </c>
      <c r="E31" s="28">
        <v>164</v>
      </c>
      <c r="F31" s="20">
        <f>(D31-E31)/E31</f>
        <v>0.3048780487804878</v>
      </c>
      <c r="G31" s="29">
        <v>62</v>
      </c>
      <c r="H31" s="20" t="s">
        <v>15</v>
      </c>
      <c r="I31" s="20" t="s">
        <v>15</v>
      </c>
      <c r="J31" s="22">
        <v>2</v>
      </c>
      <c r="K31" s="21">
        <v>6</v>
      </c>
      <c r="L31" s="28">
        <v>6698</v>
      </c>
      <c r="M31" s="29">
        <v>1440</v>
      </c>
      <c r="N31" s="23">
        <v>45548</v>
      </c>
      <c r="O31" s="30" t="s">
        <v>13</v>
      </c>
      <c r="R31" s="17"/>
    </row>
    <row r="32" spans="1:18" s="24" customFormat="1" ht="24.95" customHeight="1">
      <c r="A32" s="17">
        <v>30</v>
      </c>
      <c r="B32" s="22">
        <v>20</v>
      </c>
      <c r="C32" s="18" t="s">
        <v>253</v>
      </c>
      <c r="D32" s="28">
        <v>211.5</v>
      </c>
      <c r="E32" s="28">
        <v>614.9</v>
      </c>
      <c r="F32" s="20">
        <f>(D32-E32)/E32</f>
        <v>-0.65604163278581884</v>
      </c>
      <c r="G32" s="29">
        <v>27</v>
      </c>
      <c r="H32" s="21">
        <v>2</v>
      </c>
      <c r="I32" s="22">
        <f>G32/H32</f>
        <v>13.5</v>
      </c>
      <c r="J32" s="22">
        <v>1</v>
      </c>
      <c r="K32" s="21">
        <v>5</v>
      </c>
      <c r="L32" s="28">
        <v>27793.62</v>
      </c>
      <c r="M32" s="29">
        <v>4192</v>
      </c>
      <c r="N32" s="23">
        <v>45555</v>
      </c>
      <c r="O32" s="30" t="s">
        <v>11</v>
      </c>
      <c r="R32" s="17"/>
    </row>
    <row r="33" spans="1:18" s="24" customFormat="1" ht="24.95" customHeight="1">
      <c r="A33" s="17">
        <v>31</v>
      </c>
      <c r="B33" s="29" t="s">
        <v>15</v>
      </c>
      <c r="C33" s="18" t="s">
        <v>308</v>
      </c>
      <c r="D33" s="28">
        <v>205.03</v>
      </c>
      <c r="E33" s="28" t="s">
        <v>15</v>
      </c>
      <c r="F33" s="20" t="s">
        <v>15</v>
      </c>
      <c r="G33" s="29">
        <v>53</v>
      </c>
      <c r="H33" s="21">
        <v>3</v>
      </c>
      <c r="I33" s="22">
        <f>G33/H33</f>
        <v>17.666666666666668</v>
      </c>
      <c r="J33" s="22">
        <v>2</v>
      </c>
      <c r="K33" s="21" t="s">
        <v>15</v>
      </c>
      <c r="L33" s="28">
        <v>181073.7</v>
      </c>
      <c r="M33" s="29">
        <v>31116</v>
      </c>
      <c r="N33" s="23">
        <v>44834</v>
      </c>
      <c r="O33" s="30" t="s">
        <v>25</v>
      </c>
      <c r="R33" s="17"/>
    </row>
    <row r="34" spans="1:18" s="24" customFormat="1" ht="24.95" customHeight="1">
      <c r="A34" s="17">
        <v>32</v>
      </c>
      <c r="B34" s="71">
        <v>21</v>
      </c>
      <c r="C34" s="18" t="s">
        <v>296</v>
      </c>
      <c r="D34" s="28">
        <v>170</v>
      </c>
      <c r="E34" s="28">
        <v>604.40000000000009</v>
      </c>
      <c r="F34" s="20">
        <f>(D34-E34)/E34</f>
        <v>-0.7187293183322303</v>
      </c>
      <c r="G34" s="29">
        <v>31</v>
      </c>
      <c r="H34" s="21">
        <v>5</v>
      </c>
      <c r="I34" s="22">
        <v>6.2</v>
      </c>
      <c r="J34" s="22">
        <v>3</v>
      </c>
      <c r="K34" s="21">
        <v>2</v>
      </c>
      <c r="L34" s="28">
        <v>774.40000000000009</v>
      </c>
      <c r="M34" s="29">
        <v>128</v>
      </c>
      <c r="N34" s="23">
        <v>45576</v>
      </c>
      <c r="O34" s="30" t="s">
        <v>297</v>
      </c>
      <c r="R34" s="17"/>
    </row>
    <row r="35" spans="1:18" s="24" customFormat="1" ht="24.95" customHeight="1">
      <c r="A35" s="17">
        <v>33</v>
      </c>
      <c r="B35" s="22">
        <v>31</v>
      </c>
      <c r="C35" s="18" t="s">
        <v>283</v>
      </c>
      <c r="D35" s="28">
        <v>153</v>
      </c>
      <c r="E35" s="28">
        <v>60</v>
      </c>
      <c r="F35" s="20">
        <f>(D35-E35)/E35</f>
        <v>1.55</v>
      </c>
      <c r="G35" s="29">
        <v>30</v>
      </c>
      <c r="H35" s="21">
        <v>3</v>
      </c>
      <c r="I35" s="22">
        <v>10</v>
      </c>
      <c r="J35" s="22">
        <v>3</v>
      </c>
      <c r="K35" s="21">
        <v>3</v>
      </c>
      <c r="L35" s="28">
        <v>1221.79</v>
      </c>
      <c r="M35" s="29">
        <v>227</v>
      </c>
      <c r="N35" s="23">
        <v>45569</v>
      </c>
      <c r="O35" s="30" t="s">
        <v>217</v>
      </c>
      <c r="R35" s="17"/>
    </row>
    <row r="36" spans="1:18" s="24" customFormat="1" ht="24.95" customHeight="1">
      <c r="A36" s="17">
        <v>34</v>
      </c>
      <c r="B36" s="71">
        <v>25</v>
      </c>
      <c r="C36" s="18" t="s">
        <v>104</v>
      </c>
      <c r="D36" s="28">
        <v>152</v>
      </c>
      <c r="E36" s="28">
        <v>279.64999999999998</v>
      </c>
      <c r="F36" s="20">
        <f>(D36-E36)/E36</f>
        <v>-0.45646343643840509</v>
      </c>
      <c r="G36" s="29">
        <v>42</v>
      </c>
      <c r="H36" s="21">
        <v>1</v>
      </c>
      <c r="I36" s="22">
        <f>G36/H36</f>
        <v>42</v>
      </c>
      <c r="J36" s="22">
        <v>1</v>
      </c>
      <c r="K36" s="20" t="s">
        <v>15</v>
      </c>
      <c r="L36" s="28">
        <v>138733</v>
      </c>
      <c r="M36" s="29">
        <v>26866</v>
      </c>
      <c r="N36" s="23">
        <v>45331</v>
      </c>
      <c r="O36" s="30" t="s">
        <v>11</v>
      </c>
      <c r="R36" s="17"/>
    </row>
    <row r="37" spans="1:18" s="24" customFormat="1" ht="24.95" customHeight="1">
      <c r="A37" s="17">
        <v>35</v>
      </c>
      <c r="B37" s="28" t="s">
        <v>15</v>
      </c>
      <c r="C37" s="18" t="s">
        <v>80</v>
      </c>
      <c r="D37" s="28">
        <v>123.84</v>
      </c>
      <c r="E37" s="28" t="s">
        <v>15</v>
      </c>
      <c r="F37" s="20" t="s">
        <v>15</v>
      </c>
      <c r="G37" s="29">
        <v>36</v>
      </c>
      <c r="H37" s="21">
        <v>2</v>
      </c>
      <c r="I37" s="22">
        <f>G37/H37</f>
        <v>18</v>
      </c>
      <c r="J37" s="22">
        <v>1</v>
      </c>
      <c r="K37" s="21" t="s">
        <v>15</v>
      </c>
      <c r="L37" s="28">
        <v>87696.01</v>
      </c>
      <c r="M37" s="29">
        <v>18069</v>
      </c>
      <c r="N37" s="23">
        <v>44855</v>
      </c>
      <c r="O37" s="30" t="s">
        <v>11</v>
      </c>
      <c r="R37" s="17"/>
    </row>
    <row r="38" spans="1:18" s="24" customFormat="1" ht="24.95" customHeight="1">
      <c r="A38" s="17">
        <v>36</v>
      </c>
      <c r="B38" s="29" t="s">
        <v>15</v>
      </c>
      <c r="C38" s="18" t="s">
        <v>135</v>
      </c>
      <c r="D38" s="28">
        <v>77.989999999999995</v>
      </c>
      <c r="E38" s="28" t="s">
        <v>15</v>
      </c>
      <c r="F38" s="20" t="s">
        <v>15</v>
      </c>
      <c r="G38" s="29">
        <v>23</v>
      </c>
      <c r="H38" s="21">
        <v>1</v>
      </c>
      <c r="I38" s="22">
        <f>G38/H38</f>
        <v>23</v>
      </c>
      <c r="J38" s="22">
        <v>1</v>
      </c>
      <c r="K38" s="21" t="s">
        <v>15</v>
      </c>
      <c r="L38" s="28">
        <v>32484.11</v>
      </c>
      <c r="M38" s="29">
        <v>5399</v>
      </c>
      <c r="N38" s="23">
        <v>45303</v>
      </c>
      <c r="O38" s="30" t="s">
        <v>66</v>
      </c>
      <c r="R38" s="17"/>
    </row>
    <row r="39" spans="1:18" s="24" customFormat="1" ht="24.95" customHeight="1">
      <c r="A39" s="17">
        <v>37</v>
      </c>
      <c r="B39" s="22">
        <v>28</v>
      </c>
      <c r="C39" s="18" t="s">
        <v>147</v>
      </c>
      <c r="D39" s="28">
        <v>6</v>
      </c>
      <c r="E39" s="28">
        <v>150</v>
      </c>
      <c r="F39" s="20">
        <f>(D39-E39)/E39</f>
        <v>-0.96</v>
      </c>
      <c r="G39" s="29">
        <v>1</v>
      </c>
      <c r="H39" s="21">
        <v>1</v>
      </c>
      <c r="I39" s="22">
        <f>G39/H39</f>
        <v>1</v>
      </c>
      <c r="J39" s="22">
        <v>1</v>
      </c>
      <c r="K39" s="21">
        <v>16</v>
      </c>
      <c r="L39" s="28">
        <v>55185.46</v>
      </c>
      <c r="M39" s="29">
        <v>8376</v>
      </c>
      <c r="N39" s="23">
        <v>45478</v>
      </c>
      <c r="O39" s="30" t="s">
        <v>18</v>
      </c>
      <c r="R39" s="17"/>
    </row>
    <row r="40" spans="1:18" s="24" customFormat="1" ht="24.95" customHeight="1">
      <c r="A40" s="17">
        <v>38</v>
      </c>
      <c r="B40" s="29" t="s">
        <v>15</v>
      </c>
      <c r="C40" s="18" t="s">
        <v>44</v>
      </c>
      <c r="D40" s="28">
        <v>3</v>
      </c>
      <c r="E40" s="28" t="s">
        <v>15</v>
      </c>
      <c r="F40" s="20" t="s">
        <v>15</v>
      </c>
      <c r="G40" s="29">
        <v>1</v>
      </c>
      <c r="H40" s="21">
        <v>1</v>
      </c>
      <c r="I40" s="22">
        <f>G40/H40</f>
        <v>1</v>
      </c>
      <c r="J40" s="22">
        <v>1</v>
      </c>
      <c r="K40" s="21" t="s">
        <v>15</v>
      </c>
      <c r="L40" s="28">
        <v>62129.279999999999</v>
      </c>
      <c r="M40" s="29" t="s">
        <v>306</v>
      </c>
      <c r="N40" s="23">
        <v>45379</v>
      </c>
      <c r="O40" s="30" t="s">
        <v>25</v>
      </c>
      <c r="R40" s="17"/>
    </row>
    <row r="41" spans="1:18" ht="24.95" customHeight="1">
      <c r="A41" s="46"/>
      <c r="B41" s="57" t="s">
        <v>26</v>
      </c>
      <c r="C41" s="48" t="s">
        <v>139</v>
      </c>
      <c r="D41" s="49">
        <f>SUBTOTAL(109,Table1324567891011121314151716182819202122[Pajamos 
(GBO)])</f>
        <v>287704.44</v>
      </c>
      <c r="E41" s="49" t="s">
        <v>299</v>
      </c>
      <c r="F41" s="50">
        <f t="shared" ref="F41" si="2">(D41-E41)/E41</f>
        <v>5.8612602336491591E-2</v>
      </c>
      <c r="G41" s="52">
        <f>SUBTOTAL(109,Table1324567891011121314151716182819202122[Žiūrovų sk. 
(ADM)])</f>
        <v>43855</v>
      </c>
      <c r="H41" s="57"/>
      <c r="I41" s="46"/>
      <c r="J41" s="46"/>
      <c r="K41" s="57"/>
      <c r="L41" s="54"/>
      <c r="M41" s="57"/>
      <c r="N41" s="46"/>
      <c r="O41" s="46" t="s">
        <v>26</v>
      </c>
    </row>
  </sheetData>
  <mergeCells count="1">
    <mergeCell ref="A1:O1"/>
  </mergeCells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4F868-6C9D-41AA-8ABB-8DE042E372FD}">
  <dimension ref="A1:R37"/>
  <sheetViews>
    <sheetView topLeftCell="A12" zoomScale="60" zoomScaleNormal="60" workbookViewId="0">
      <selection activeCell="O30" sqref="O30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3" t="s">
        <v>286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21">
        <v>1</v>
      </c>
      <c r="C3" s="18" t="s">
        <v>271</v>
      </c>
      <c r="D3" s="28">
        <v>48799.7</v>
      </c>
      <c r="E3" s="28">
        <v>153877.94</v>
      </c>
      <c r="F3" s="20">
        <f>(D3-E3)/E3</f>
        <v>-0.68286747275145487</v>
      </c>
      <c r="G3" s="29">
        <v>6439</v>
      </c>
      <c r="H3" s="21">
        <v>359</v>
      </c>
      <c r="I3" s="22">
        <f>G3/H3</f>
        <v>17.935933147632312</v>
      </c>
      <c r="J3" s="22">
        <v>18</v>
      </c>
      <c r="K3" s="21">
        <v>2</v>
      </c>
      <c r="L3" s="28">
        <v>242043.66</v>
      </c>
      <c r="M3" s="29">
        <v>30687</v>
      </c>
      <c r="N3" s="23">
        <v>45569</v>
      </c>
      <c r="O3" s="30" t="s">
        <v>12</v>
      </c>
    </row>
    <row r="4" spans="1:15" s="69" customFormat="1" ht="24.95" customHeight="1">
      <c r="A4" s="17">
        <v>2</v>
      </c>
      <c r="B4" s="29" t="s">
        <v>17</v>
      </c>
      <c r="C4" s="18" t="s">
        <v>294</v>
      </c>
      <c r="D4" s="28">
        <v>40863.879999999997</v>
      </c>
      <c r="E4" s="28" t="s">
        <v>15</v>
      </c>
      <c r="F4" s="20" t="s">
        <v>15</v>
      </c>
      <c r="G4" s="29">
        <v>5863</v>
      </c>
      <c r="H4" s="21">
        <v>149</v>
      </c>
      <c r="I4" s="22">
        <v>59.416666666666664</v>
      </c>
      <c r="J4" s="22">
        <v>19</v>
      </c>
      <c r="K4" s="21">
        <v>1</v>
      </c>
      <c r="L4" s="28">
        <v>40863.879999999997</v>
      </c>
      <c r="M4" s="29">
        <v>5863</v>
      </c>
      <c r="N4" s="23">
        <v>45576</v>
      </c>
      <c r="O4" s="30" t="s">
        <v>295</v>
      </c>
    </row>
    <row r="5" spans="1:15" s="69" customFormat="1" ht="24.95" customHeight="1">
      <c r="A5" s="17">
        <v>3</v>
      </c>
      <c r="B5" s="21">
        <v>2</v>
      </c>
      <c r="C5" s="25" t="s">
        <v>261</v>
      </c>
      <c r="D5" s="19">
        <v>40426.58</v>
      </c>
      <c r="E5" s="19">
        <v>50779.64</v>
      </c>
      <c r="F5" s="20">
        <f>(D5-E5)/E5</f>
        <v>-0.20388210708071183</v>
      </c>
      <c r="G5" s="21">
        <v>7245</v>
      </c>
      <c r="H5" s="21">
        <v>248</v>
      </c>
      <c r="I5" s="22">
        <f>G5/H5</f>
        <v>29.213709677419356</v>
      </c>
      <c r="J5" s="22">
        <v>14</v>
      </c>
      <c r="K5" s="22">
        <v>3</v>
      </c>
      <c r="L5" s="19">
        <v>169479.73</v>
      </c>
      <c r="M5" s="21">
        <v>30744</v>
      </c>
      <c r="N5" s="23">
        <v>45562</v>
      </c>
      <c r="O5" s="53" t="s">
        <v>11</v>
      </c>
    </row>
    <row r="6" spans="1:15" s="69" customFormat="1" ht="24.95" customHeight="1">
      <c r="A6" s="17">
        <v>4</v>
      </c>
      <c r="B6" s="21">
        <v>3</v>
      </c>
      <c r="C6" s="18" t="s">
        <v>262</v>
      </c>
      <c r="D6" s="28">
        <v>23954.45</v>
      </c>
      <c r="E6" s="28">
        <v>45053.2</v>
      </c>
      <c r="F6" s="20">
        <f>(D6-E6)/E6</f>
        <v>-0.46830746761606273</v>
      </c>
      <c r="G6" s="29">
        <v>3589</v>
      </c>
      <c r="H6" s="21">
        <v>132</v>
      </c>
      <c r="I6" s="22">
        <f>G6/H6</f>
        <v>27.189393939393938</v>
      </c>
      <c r="J6" s="22">
        <v>15</v>
      </c>
      <c r="K6" s="21">
        <v>4</v>
      </c>
      <c r="L6" s="28">
        <v>266126.75</v>
      </c>
      <c r="M6" s="29">
        <v>38792</v>
      </c>
      <c r="N6" s="23">
        <v>45555</v>
      </c>
      <c r="O6" s="30" t="s">
        <v>263</v>
      </c>
    </row>
    <row r="7" spans="1:15" s="69" customFormat="1" ht="24.95" customHeight="1">
      <c r="A7" s="17">
        <v>5</v>
      </c>
      <c r="B7" s="21">
        <v>4</v>
      </c>
      <c r="C7" s="25" t="s">
        <v>268</v>
      </c>
      <c r="D7" s="19">
        <v>21834.41</v>
      </c>
      <c r="E7" s="19">
        <v>26325.18</v>
      </c>
      <c r="F7" s="20">
        <f>(D7-E7)/E7</f>
        <v>-0.17058838723989733</v>
      </c>
      <c r="G7" s="21">
        <v>3288</v>
      </c>
      <c r="H7" s="21">
        <v>90</v>
      </c>
      <c r="I7" s="22">
        <f>G7/H7</f>
        <v>36.533333333333331</v>
      </c>
      <c r="J7" s="22">
        <v>12</v>
      </c>
      <c r="K7" s="22">
        <v>3</v>
      </c>
      <c r="L7" s="19">
        <v>81910.98000000001</v>
      </c>
      <c r="M7" s="21">
        <v>12154</v>
      </c>
      <c r="N7" s="23">
        <v>45562</v>
      </c>
      <c r="O7" s="53" t="s">
        <v>14</v>
      </c>
    </row>
    <row r="8" spans="1:15" s="69" customFormat="1" ht="24.95" customHeight="1">
      <c r="A8" s="17">
        <v>6</v>
      </c>
      <c r="B8" s="21" t="s">
        <v>17</v>
      </c>
      <c r="C8" s="18" t="s">
        <v>282</v>
      </c>
      <c r="D8" s="28">
        <v>19121</v>
      </c>
      <c r="E8" s="20" t="s">
        <v>15</v>
      </c>
      <c r="F8" s="20" t="s">
        <v>15</v>
      </c>
      <c r="G8" s="29">
        <v>3605</v>
      </c>
      <c r="H8" s="20" t="s">
        <v>15</v>
      </c>
      <c r="I8" s="20" t="s">
        <v>15</v>
      </c>
      <c r="J8" s="22">
        <v>17</v>
      </c>
      <c r="K8" s="21">
        <v>1</v>
      </c>
      <c r="L8" s="28">
        <v>22442</v>
      </c>
      <c r="M8" s="29">
        <v>4139</v>
      </c>
      <c r="N8" s="23">
        <v>45576</v>
      </c>
      <c r="O8" s="30" t="s">
        <v>13</v>
      </c>
    </row>
    <row r="9" spans="1:15" s="69" customFormat="1" ht="24.95" customHeight="1">
      <c r="A9" s="17">
        <v>7</v>
      </c>
      <c r="B9" s="21" t="s">
        <v>17</v>
      </c>
      <c r="C9" s="18" t="s">
        <v>289</v>
      </c>
      <c r="D9" s="28">
        <v>13463.52</v>
      </c>
      <c r="E9" s="28" t="s">
        <v>15</v>
      </c>
      <c r="F9" s="20" t="s">
        <v>15</v>
      </c>
      <c r="G9" s="29">
        <v>2011</v>
      </c>
      <c r="H9" s="21">
        <v>129</v>
      </c>
      <c r="I9" s="22">
        <v>23.125</v>
      </c>
      <c r="J9" s="22">
        <v>11</v>
      </c>
      <c r="K9" s="21">
        <v>1</v>
      </c>
      <c r="L9" s="28">
        <v>13559.52</v>
      </c>
      <c r="M9" s="29">
        <v>2024</v>
      </c>
      <c r="N9" s="23">
        <v>45576</v>
      </c>
      <c r="O9" s="30" t="s">
        <v>61</v>
      </c>
    </row>
    <row r="10" spans="1:15" s="69" customFormat="1" ht="24.95" customHeight="1">
      <c r="A10" s="17">
        <v>8</v>
      </c>
      <c r="B10" s="21">
        <v>5</v>
      </c>
      <c r="C10" s="18" t="s">
        <v>234</v>
      </c>
      <c r="D10" s="28">
        <v>11351.3</v>
      </c>
      <c r="E10" s="28">
        <v>19721.439999999999</v>
      </c>
      <c r="F10" s="20">
        <f>(D10-E10)/E10</f>
        <v>-0.42441829805531439</v>
      </c>
      <c r="G10" s="29">
        <v>1751</v>
      </c>
      <c r="H10" s="21">
        <v>84</v>
      </c>
      <c r="I10" s="22">
        <f>G10/H10</f>
        <v>20.845238095238095</v>
      </c>
      <c r="J10" s="22">
        <v>8</v>
      </c>
      <c r="K10" s="21">
        <v>6</v>
      </c>
      <c r="L10" s="28">
        <v>199453.55</v>
      </c>
      <c r="M10" s="29">
        <v>29079</v>
      </c>
      <c r="N10" s="23">
        <v>45541</v>
      </c>
      <c r="O10" s="30" t="s">
        <v>12</v>
      </c>
    </row>
    <row r="11" spans="1:15" s="69" customFormat="1" ht="24.95" customHeight="1">
      <c r="A11" s="17">
        <v>9</v>
      </c>
      <c r="B11" s="21" t="s">
        <v>17</v>
      </c>
      <c r="C11" s="18" t="s">
        <v>287</v>
      </c>
      <c r="D11" s="28">
        <v>10311</v>
      </c>
      <c r="E11" s="28" t="s">
        <v>15</v>
      </c>
      <c r="F11" s="20" t="s">
        <v>15</v>
      </c>
      <c r="G11" s="29">
        <v>1637</v>
      </c>
      <c r="H11" s="21" t="s">
        <v>15</v>
      </c>
      <c r="I11" s="22" t="s">
        <v>15</v>
      </c>
      <c r="J11" s="22">
        <v>13</v>
      </c>
      <c r="K11" s="21">
        <v>1</v>
      </c>
      <c r="L11" s="28">
        <v>10311</v>
      </c>
      <c r="M11" s="29">
        <v>1637</v>
      </c>
      <c r="N11" s="23">
        <v>45576</v>
      </c>
      <c r="O11" s="30" t="s">
        <v>13</v>
      </c>
    </row>
    <row r="12" spans="1:15" s="69" customFormat="1" ht="24.95" customHeight="1">
      <c r="A12" s="17">
        <v>10</v>
      </c>
      <c r="B12" s="21">
        <v>8</v>
      </c>
      <c r="C12" s="18" t="s">
        <v>146</v>
      </c>
      <c r="D12" s="28">
        <v>8072.71</v>
      </c>
      <c r="E12" s="28">
        <v>9743.8700000000008</v>
      </c>
      <c r="F12" s="20">
        <f>(D12-E12)/E12</f>
        <v>-0.17150885633736909</v>
      </c>
      <c r="G12" s="29">
        <v>1443</v>
      </c>
      <c r="H12" s="21">
        <v>85</v>
      </c>
      <c r="I12" s="22">
        <f>G12/H12</f>
        <v>16.976470588235294</v>
      </c>
      <c r="J12" s="22">
        <v>9</v>
      </c>
      <c r="K12" s="21">
        <v>15</v>
      </c>
      <c r="L12" s="28">
        <v>1180923.8799999999</v>
      </c>
      <c r="M12" s="29">
        <v>205057</v>
      </c>
      <c r="N12" s="23">
        <v>45478</v>
      </c>
      <c r="O12" s="30" t="s">
        <v>63</v>
      </c>
    </row>
    <row r="13" spans="1:15" s="69" customFormat="1" ht="24.95" customHeight="1">
      <c r="A13" s="17">
        <v>11</v>
      </c>
      <c r="B13" s="29" t="s">
        <v>23</v>
      </c>
      <c r="C13" s="18" t="s">
        <v>292</v>
      </c>
      <c r="D13" s="28">
        <v>4988.3</v>
      </c>
      <c r="E13" s="28" t="s">
        <v>15</v>
      </c>
      <c r="F13" s="20" t="s">
        <v>15</v>
      </c>
      <c r="G13" s="29">
        <v>692</v>
      </c>
      <c r="H13" s="21">
        <v>9</v>
      </c>
      <c r="I13" s="22">
        <f>G13/H13</f>
        <v>76.888888888888886</v>
      </c>
      <c r="J13" s="22">
        <v>9</v>
      </c>
      <c r="K13" s="21">
        <v>0</v>
      </c>
      <c r="L13" s="28">
        <v>4988.3</v>
      </c>
      <c r="M13" s="29">
        <v>692</v>
      </c>
      <c r="N13" s="23" t="s">
        <v>24</v>
      </c>
      <c r="O13" s="30" t="s">
        <v>259</v>
      </c>
    </row>
    <row r="14" spans="1:15" s="69" customFormat="1" ht="24.95" customHeight="1">
      <c r="A14" s="17">
        <v>12</v>
      </c>
      <c r="B14" s="21">
        <v>6</v>
      </c>
      <c r="C14" s="18" t="s">
        <v>240</v>
      </c>
      <c r="D14" s="28">
        <v>4658.84</v>
      </c>
      <c r="E14" s="28">
        <v>11632.01</v>
      </c>
      <c r="F14" s="20">
        <f>(D14-E14)/E14</f>
        <v>-0.59948108710360459</v>
      </c>
      <c r="G14" s="29">
        <v>864</v>
      </c>
      <c r="H14" s="21">
        <v>32</v>
      </c>
      <c r="I14" s="22">
        <f>G14/H14</f>
        <v>27</v>
      </c>
      <c r="J14" s="22">
        <v>8</v>
      </c>
      <c r="K14" s="21">
        <v>5</v>
      </c>
      <c r="L14" s="28">
        <v>109730.03</v>
      </c>
      <c r="M14" s="29">
        <v>16011</v>
      </c>
      <c r="N14" s="23">
        <v>45548</v>
      </c>
      <c r="O14" s="30" t="s">
        <v>11</v>
      </c>
    </row>
    <row r="15" spans="1:15" s="69" customFormat="1" ht="24.95" customHeight="1">
      <c r="A15" s="17">
        <v>13</v>
      </c>
      <c r="B15" s="29" t="s">
        <v>17</v>
      </c>
      <c r="C15" s="18" t="s">
        <v>293</v>
      </c>
      <c r="D15" s="28">
        <v>4295.42</v>
      </c>
      <c r="E15" s="28" t="s">
        <v>15</v>
      </c>
      <c r="F15" s="20" t="s">
        <v>15</v>
      </c>
      <c r="G15" s="29">
        <v>658</v>
      </c>
      <c r="H15" s="21">
        <v>54</v>
      </c>
      <c r="I15" s="22">
        <v>13.851851851851851</v>
      </c>
      <c r="J15" s="22">
        <v>9</v>
      </c>
      <c r="K15" s="21">
        <v>1</v>
      </c>
      <c r="L15" s="28">
        <v>4295.42</v>
      </c>
      <c r="M15" s="29">
        <v>658</v>
      </c>
      <c r="N15" s="23">
        <v>45576</v>
      </c>
      <c r="O15" s="30" t="s">
        <v>265</v>
      </c>
    </row>
    <row r="16" spans="1:15" s="69" customFormat="1" ht="24.95" customHeight="1">
      <c r="A16" s="17">
        <v>14</v>
      </c>
      <c r="B16" s="29" t="s">
        <v>17</v>
      </c>
      <c r="C16" s="18" t="s">
        <v>291</v>
      </c>
      <c r="D16" s="28">
        <v>3466.45</v>
      </c>
      <c r="E16" s="28" t="s">
        <v>15</v>
      </c>
      <c r="F16" s="20" t="s">
        <v>15</v>
      </c>
      <c r="G16" s="29">
        <v>551</v>
      </c>
      <c r="H16" s="21">
        <v>81</v>
      </c>
      <c r="I16" s="22">
        <v>8.46875</v>
      </c>
      <c r="J16" s="22">
        <v>12</v>
      </c>
      <c r="K16" s="21">
        <v>1</v>
      </c>
      <c r="L16" s="28">
        <v>3466.45</v>
      </c>
      <c r="M16" s="29">
        <v>551</v>
      </c>
      <c r="N16" s="23">
        <v>45576</v>
      </c>
      <c r="O16" s="30" t="s">
        <v>251</v>
      </c>
    </row>
    <row r="17" spans="1:18" s="69" customFormat="1" ht="24.95" customHeight="1">
      <c r="A17" s="17">
        <v>15</v>
      </c>
      <c r="B17" s="21" t="s">
        <v>23</v>
      </c>
      <c r="C17" s="18" t="s">
        <v>272</v>
      </c>
      <c r="D17" s="28">
        <v>3277.11</v>
      </c>
      <c r="E17" s="20" t="s">
        <v>15</v>
      </c>
      <c r="F17" s="20" t="s">
        <v>15</v>
      </c>
      <c r="G17" s="29">
        <v>546</v>
      </c>
      <c r="H17" s="21">
        <v>9</v>
      </c>
      <c r="I17" s="22">
        <f t="shared" ref="I17:I22" si="0">G17/H17</f>
        <v>60.666666666666664</v>
      </c>
      <c r="J17" s="22">
        <v>9</v>
      </c>
      <c r="K17" s="21">
        <v>0</v>
      </c>
      <c r="L17" s="28">
        <v>8005.11</v>
      </c>
      <c r="M17" s="29">
        <v>1805</v>
      </c>
      <c r="N17" s="23" t="s">
        <v>24</v>
      </c>
      <c r="O17" s="30" t="s">
        <v>11</v>
      </c>
    </row>
    <row r="18" spans="1:18" s="69" customFormat="1" ht="24.95" customHeight="1">
      <c r="A18" s="17">
        <v>16</v>
      </c>
      <c r="B18" s="21">
        <v>10</v>
      </c>
      <c r="C18" s="18" t="s">
        <v>258</v>
      </c>
      <c r="D18" s="28">
        <v>3161.31</v>
      </c>
      <c r="E18" s="28">
        <v>6079.47</v>
      </c>
      <c r="F18" s="20">
        <f>(D18-E18)/E18</f>
        <v>-0.48000236862752843</v>
      </c>
      <c r="G18" s="29">
        <v>568</v>
      </c>
      <c r="H18" s="21">
        <v>49</v>
      </c>
      <c r="I18" s="22">
        <f t="shared" si="0"/>
        <v>11.591836734693878</v>
      </c>
      <c r="J18" s="22">
        <v>8</v>
      </c>
      <c r="K18" s="21">
        <v>4</v>
      </c>
      <c r="L18" s="28">
        <v>43934.76</v>
      </c>
      <c r="M18" s="29">
        <v>7748</v>
      </c>
      <c r="N18" s="23">
        <v>45555</v>
      </c>
      <c r="O18" s="30" t="s">
        <v>259</v>
      </c>
    </row>
    <row r="19" spans="1:18" s="69" customFormat="1" ht="24.95" customHeight="1">
      <c r="A19" s="17">
        <v>17</v>
      </c>
      <c r="B19" s="21">
        <v>9</v>
      </c>
      <c r="C19" s="18" t="s">
        <v>280</v>
      </c>
      <c r="D19" s="28">
        <v>2562.61</v>
      </c>
      <c r="E19" s="28">
        <v>7438.73</v>
      </c>
      <c r="F19" s="20">
        <f>(D19-E19)/E19</f>
        <v>-0.65550436700888448</v>
      </c>
      <c r="G19" s="29">
        <v>494</v>
      </c>
      <c r="H19" s="21">
        <v>63</v>
      </c>
      <c r="I19" s="22">
        <f t="shared" si="0"/>
        <v>7.8412698412698409</v>
      </c>
      <c r="J19" s="22">
        <v>11</v>
      </c>
      <c r="K19" s="21">
        <v>2</v>
      </c>
      <c r="L19" s="28">
        <v>10001.34</v>
      </c>
      <c r="M19" s="29">
        <v>1885</v>
      </c>
      <c r="N19" s="23">
        <v>45569</v>
      </c>
      <c r="O19" s="30" t="s">
        <v>281</v>
      </c>
    </row>
    <row r="20" spans="1:18" s="69" customFormat="1" ht="24.95" customHeight="1">
      <c r="A20" s="17">
        <v>18</v>
      </c>
      <c r="B20" s="21">
        <v>7</v>
      </c>
      <c r="C20" s="18" t="s">
        <v>191</v>
      </c>
      <c r="D20" s="28">
        <v>2361.4</v>
      </c>
      <c r="E20" s="28">
        <v>11111.96</v>
      </c>
      <c r="F20" s="20">
        <f>(D20-E20)/E20</f>
        <v>-0.78749023574598898</v>
      </c>
      <c r="G20" s="29">
        <v>376</v>
      </c>
      <c r="H20" s="21">
        <v>19</v>
      </c>
      <c r="I20" s="22">
        <f t="shared" si="0"/>
        <v>19.789473684210527</v>
      </c>
      <c r="J20" s="22">
        <v>3</v>
      </c>
      <c r="K20" s="21">
        <v>10</v>
      </c>
      <c r="L20" s="28">
        <v>854728.59</v>
      </c>
      <c r="M20" s="29">
        <v>118655</v>
      </c>
      <c r="N20" s="23">
        <v>45513</v>
      </c>
      <c r="O20" s="30" t="s">
        <v>61</v>
      </c>
    </row>
    <row r="21" spans="1:18" s="69" customFormat="1" ht="24.95" customHeight="1">
      <c r="A21" s="17">
        <v>19</v>
      </c>
      <c r="B21" s="21">
        <v>15</v>
      </c>
      <c r="C21" s="18" t="s">
        <v>106</v>
      </c>
      <c r="D21" s="28">
        <v>1214.9000000000001</v>
      </c>
      <c r="E21" s="28">
        <v>2855.35</v>
      </c>
      <c r="F21" s="20">
        <f>(D21-E21)/E21</f>
        <v>-0.5745180100513072</v>
      </c>
      <c r="G21" s="29">
        <v>209</v>
      </c>
      <c r="H21" s="21">
        <v>20</v>
      </c>
      <c r="I21" s="22">
        <f t="shared" si="0"/>
        <v>10.45</v>
      </c>
      <c r="J21" s="22">
        <v>3</v>
      </c>
      <c r="K21" s="21">
        <v>18</v>
      </c>
      <c r="L21" s="28">
        <v>1305303.3799999999</v>
      </c>
      <c r="M21" s="29">
        <v>225966</v>
      </c>
      <c r="N21" s="23">
        <v>45457</v>
      </c>
      <c r="O21" s="30" t="s">
        <v>18</v>
      </c>
    </row>
    <row r="22" spans="1:18" s="69" customFormat="1" ht="24.95" customHeight="1">
      <c r="A22" s="17">
        <v>20</v>
      </c>
      <c r="B22" s="21">
        <v>11</v>
      </c>
      <c r="C22" s="18" t="s">
        <v>253</v>
      </c>
      <c r="D22" s="28">
        <v>614.9</v>
      </c>
      <c r="E22" s="28">
        <v>3401.32</v>
      </c>
      <c r="F22" s="20">
        <f>(D22-E22)/E22</f>
        <v>-0.81921724506956117</v>
      </c>
      <c r="G22" s="29">
        <v>82</v>
      </c>
      <c r="H22" s="21">
        <v>2</v>
      </c>
      <c r="I22" s="22">
        <f t="shared" si="0"/>
        <v>41</v>
      </c>
      <c r="J22" s="22">
        <v>2</v>
      </c>
      <c r="K22" s="21">
        <v>4</v>
      </c>
      <c r="L22" s="28">
        <v>27582.12</v>
      </c>
      <c r="M22" s="29">
        <v>4165</v>
      </c>
      <c r="N22" s="23">
        <v>45555</v>
      </c>
      <c r="O22" s="30" t="s">
        <v>11</v>
      </c>
    </row>
    <row r="23" spans="1:18" s="69" customFormat="1" ht="24.95" customHeight="1">
      <c r="A23" s="17">
        <v>21</v>
      </c>
      <c r="B23" s="29" t="s">
        <v>17</v>
      </c>
      <c r="C23" s="18" t="s">
        <v>296</v>
      </c>
      <c r="D23" s="28">
        <v>604.40000000000009</v>
      </c>
      <c r="E23" s="28" t="s">
        <v>15</v>
      </c>
      <c r="F23" s="20" t="s">
        <v>15</v>
      </c>
      <c r="G23" s="29">
        <v>97</v>
      </c>
      <c r="H23" s="21">
        <v>7</v>
      </c>
      <c r="I23" s="22">
        <v>6.2</v>
      </c>
      <c r="J23" s="22">
        <v>5</v>
      </c>
      <c r="K23" s="21">
        <v>1</v>
      </c>
      <c r="L23" s="28">
        <v>604.40000000000009</v>
      </c>
      <c r="M23" s="29">
        <v>97</v>
      </c>
      <c r="N23" s="23">
        <v>45576</v>
      </c>
      <c r="O23" s="30" t="s">
        <v>297</v>
      </c>
    </row>
    <row r="24" spans="1:18" s="69" customFormat="1" ht="24.95" customHeight="1">
      <c r="A24" s="17">
        <v>22</v>
      </c>
      <c r="B24" s="21">
        <v>16</v>
      </c>
      <c r="C24" s="18" t="s">
        <v>246</v>
      </c>
      <c r="D24" s="28">
        <v>431.31</v>
      </c>
      <c r="E24" s="28">
        <v>2628.08</v>
      </c>
      <c r="F24" s="20">
        <f>(D24-E24)/E24</f>
        <v>-0.83588399135490554</v>
      </c>
      <c r="G24" s="29">
        <v>73</v>
      </c>
      <c r="H24" s="21">
        <v>7</v>
      </c>
      <c r="I24" s="22">
        <f>G24/H24</f>
        <v>10.428571428571429</v>
      </c>
      <c r="J24" s="22">
        <v>1</v>
      </c>
      <c r="K24" s="21">
        <v>5</v>
      </c>
      <c r="L24" s="28">
        <v>63830.79</v>
      </c>
      <c r="M24" s="29">
        <v>8680</v>
      </c>
      <c r="N24" s="23">
        <v>45548</v>
      </c>
      <c r="O24" s="30" t="s">
        <v>63</v>
      </c>
    </row>
    <row r="25" spans="1:18" s="69" customFormat="1" ht="24.95" customHeight="1">
      <c r="A25" s="17">
        <v>23</v>
      </c>
      <c r="B25" s="21">
        <v>19</v>
      </c>
      <c r="C25" s="18" t="s">
        <v>250</v>
      </c>
      <c r="D25" s="28">
        <v>354</v>
      </c>
      <c r="E25" s="28">
        <v>589</v>
      </c>
      <c r="F25" s="20">
        <f>(D25-E25)/E25</f>
        <v>-0.39898132427843802</v>
      </c>
      <c r="G25" s="29">
        <v>69</v>
      </c>
      <c r="H25" s="21">
        <v>4</v>
      </c>
      <c r="I25" s="22">
        <f>G25/H25</f>
        <v>17.25</v>
      </c>
      <c r="J25" s="22">
        <v>2</v>
      </c>
      <c r="K25" s="21">
        <v>5</v>
      </c>
      <c r="L25" s="28">
        <v>3170.68</v>
      </c>
      <c r="M25" s="29">
        <v>609</v>
      </c>
      <c r="N25" s="23">
        <v>45548</v>
      </c>
      <c r="O25" s="30" t="s">
        <v>251</v>
      </c>
    </row>
    <row r="26" spans="1:18" s="69" customFormat="1" ht="24.95" customHeight="1">
      <c r="A26" s="17">
        <v>24</v>
      </c>
      <c r="B26" s="21">
        <v>27</v>
      </c>
      <c r="C26" s="18" t="s">
        <v>239</v>
      </c>
      <c r="D26" s="28">
        <v>281</v>
      </c>
      <c r="E26" s="28">
        <v>44.3</v>
      </c>
      <c r="F26" s="20">
        <f>(D26-E26)/E26</f>
        <v>5.3431151241534991</v>
      </c>
      <c r="G26" s="29">
        <v>76</v>
      </c>
      <c r="H26" s="21">
        <v>4</v>
      </c>
      <c r="I26" s="22">
        <f>G26/H26</f>
        <v>19</v>
      </c>
      <c r="J26" s="22">
        <v>2</v>
      </c>
      <c r="K26" s="21">
        <v>6</v>
      </c>
      <c r="L26" s="28">
        <v>42160.549999999996</v>
      </c>
      <c r="M26" s="29">
        <v>8214</v>
      </c>
      <c r="N26" s="23">
        <v>45541</v>
      </c>
      <c r="O26" s="30" t="s">
        <v>14</v>
      </c>
    </row>
    <row r="27" spans="1:18" s="69" customFormat="1" ht="24.95" customHeight="1">
      <c r="A27" s="17">
        <v>25</v>
      </c>
      <c r="B27" s="29">
        <v>26</v>
      </c>
      <c r="C27" s="18" t="s">
        <v>104</v>
      </c>
      <c r="D27" s="28">
        <v>279.64999999999998</v>
      </c>
      <c r="E27" s="28">
        <v>53.98</v>
      </c>
      <c r="F27" s="20">
        <f>(D27-E27)/E27</f>
        <v>4.1806224527602813</v>
      </c>
      <c r="G27" s="29">
        <v>74</v>
      </c>
      <c r="H27" s="21">
        <v>2</v>
      </c>
      <c r="I27" s="22">
        <v>29</v>
      </c>
      <c r="J27" s="22">
        <v>2</v>
      </c>
      <c r="K27" s="22" t="s">
        <v>15</v>
      </c>
      <c r="L27" s="28">
        <v>138581</v>
      </c>
      <c r="M27" s="29">
        <v>26824</v>
      </c>
      <c r="N27" s="23">
        <v>45331</v>
      </c>
      <c r="O27" s="30" t="s">
        <v>11</v>
      </c>
    </row>
    <row r="28" spans="1:18" s="69" customFormat="1" ht="24.95" customHeight="1">
      <c r="A28" s="17">
        <v>26</v>
      </c>
      <c r="B28" s="29" t="s">
        <v>15</v>
      </c>
      <c r="C28" s="18" t="s">
        <v>288</v>
      </c>
      <c r="D28" s="28">
        <v>256</v>
      </c>
      <c r="E28" s="28" t="s">
        <v>15</v>
      </c>
      <c r="F28" s="20" t="s">
        <v>15</v>
      </c>
      <c r="G28" s="29">
        <v>71</v>
      </c>
      <c r="H28" s="21">
        <v>1</v>
      </c>
      <c r="I28" s="22">
        <f>G28/H28</f>
        <v>71</v>
      </c>
      <c r="J28" s="22">
        <v>1</v>
      </c>
      <c r="K28" s="22" t="s">
        <v>15</v>
      </c>
      <c r="L28" s="28">
        <v>7257.28</v>
      </c>
      <c r="M28" s="29">
        <v>1866</v>
      </c>
      <c r="N28" s="23">
        <v>44602</v>
      </c>
      <c r="O28" s="30" t="s">
        <v>116</v>
      </c>
    </row>
    <row r="29" spans="1:18" s="69" customFormat="1" ht="24.95" customHeight="1">
      <c r="A29" s="17">
        <v>27</v>
      </c>
      <c r="B29" s="21">
        <v>28</v>
      </c>
      <c r="C29" s="18" t="s">
        <v>249</v>
      </c>
      <c r="D29" s="28">
        <v>164</v>
      </c>
      <c r="E29" s="28">
        <v>25</v>
      </c>
      <c r="F29" s="20">
        <f>(D29-E29)/E29</f>
        <v>5.56</v>
      </c>
      <c r="G29" s="29">
        <v>42</v>
      </c>
      <c r="H29" s="22" t="s">
        <v>15</v>
      </c>
      <c r="I29" s="22" t="s">
        <v>15</v>
      </c>
      <c r="J29" s="22">
        <v>2</v>
      </c>
      <c r="K29" s="21">
        <v>5</v>
      </c>
      <c r="L29" s="28">
        <v>6648</v>
      </c>
      <c r="M29" s="29">
        <v>1420</v>
      </c>
      <c r="N29" s="23">
        <v>45548</v>
      </c>
      <c r="O29" s="30" t="s">
        <v>13</v>
      </c>
    </row>
    <row r="30" spans="1:18" s="24" customFormat="1" ht="24.95" customHeight="1">
      <c r="A30" s="17">
        <v>28</v>
      </c>
      <c r="B30" s="21">
        <v>23</v>
      </c>
      <c r="C30" s="18" t="s">
        <v>147</v>
      </c>
      <c r="D30" s="28">
        <v>150</v>
      </c>
      <c r="E30" s="28">
        <v>275</v>
      </c>
      <c r="F30" s="20">
        <f>(D30-E30)/E30</f>
        <v>-0.45454545454545453</v>
      </c>
      <c r="G30" s="29">
        <v>28</v>
      </c>
      <c r="H30" s="21">
        <v>1</v>
      </c>
      <c r="I30" s="22">
        <f>G30/H30</f>
        <v>28</v>
      </c>
      <c r="J30" s="22">
        <v>1</v>
      </c>
      <c r="K30" s="21">
        <v>15</v>
      </c>
      <c r="L30" s="28">
        <v>55179.46</v>
      </c>
      <c r="M30" s="29">
        <v>8375</v>
      </c>
      <c r="N30" s="23">
        <v>45478</v>
      </c>
      <c r="O30" s="30" t="s">
        <v>18</v>
      </c>
      <c r="R30" s="17"/>
    </row>
    <row r="31" spans="1:18" s="24" customFormat="1" ht="24.95" customHeight="1">
      <c r="A31" s="17">
        <v>29</v>
      </c>
      <c r="B31" s="28" t="s">
        <v>15</v>
      </c>
      <c r="C31" s="18" t="s">
        <v>290</v>
      </c>
      <c r="D31" s="28">
        <v>128</v>
      </c>
      <c r="E31" s="28" t="s">
        <v>15</v>
      </c>
      <c r="F31" s="20" t="s">
        <v>15</v>
      </c>
      <c r="G31" s="29">
        <v>32</v>
      </c>
      <c r="H31" s="21">
        <v>2</v>
      </c>
      <c r="I31" s="22">
        <v>23.125</v>
      </c>
      <c r="J31" s="22">
        <v>2</v>
      </c>
      <c r="K31" s="21" t="s">
        <v>15</v>
      </c>
      <c r="L31" s="28">
        <v>23513.29</v>
      </c>
      <c r="M31" s="29">
        <v>4356</v>
      </c>
      <c r="N31" s="23">
        <v>45345</v>
      </c>
      <c r="O31" s="30" t="s">
        <v>11</v>
      </c>
      <c r="R31" s="17"/>
    </row>
    <row r="32" spans="1:18" s="24" customFormat="1" ht="24.95" customHeight="1">
      <c r="A32" s="17">
        <v>30</v>
      </c>
      <c r="B32" s="21">
        <v>21</v>
      </c>
      <c r="C32" s="18" t="s">
        <v>264</v>
      </c>
      <c r="D32" s="28">
        <v>100.5</v>
      </c>
      <c r="E32" s="28">
        <v>466.5</v>
      </c>
      <c r="F32" s="20">
        <f>(D32-E32)/E32</f>
        <v>-0.78456591639871387</v>
      </c>
      <c r="G32" s="29">
        <v>19</v>
      </c>
      <c r="H32" s="21">
        <v>3</v>
      </c>
      <c r="I32" s="22">
        <f>G32/H32</f>
        <v>6.333333333333333</v>
      </c>
      <c r="J32" s="22">
        <v>1</v>
      </c>
      <c r="K32" s="21">
        <v>4</v>
      </c>
      <c r="L32" s="28">
        <v>10360.81</v>
      </c>
      <c r="M32" s="29">
        <v>1726</v>
      </c>
      <c r="N32" s="23">
        <v>45555</v>
      </c>
      <c r="O32" s="30" t="s">
        <v>265</v>
      </c>
      <c r="R32" s="17"/>
    </row>
    <row r="33" spans="1:18" s="24" customFormat="1" ht="24.95" customHeight="1">
      <c r="A33" s="17">
        <v>31</v>
      </c>
      <c r="B33" s="21">
        <v>18</v>
      </c>
      <c r="C33" s="18" t="s">
        <v>283</v>
      </c>
      <c r="D33" s="28">
        <v>60</v>
      </c>
      <c r="E33" s="28">
        <v>1008.79</v>
      </c>
      <c r="F33" s="20">
        <f>(D33-E33)/E33</f>
        <v>-0.94052280454802284</v>
      </c>
      <c r="G33" s="29">
        <v>14</v>
      </c>
      <c r="H33" s="21">
        <v>4</v>
      </c>
      <c r="I33" s="22">
        <f>G33/H33</f>
        <v>3.5</v>
      </c>
      <c r="J33" s="22">
        <v>3</v>
      </c>
      <c r="K33" s="21">
        <v>2</v>
      </c>
      <c r="L33" s="28">
        <v>1068.79</v>
      </c>
      <c r="M33" s="29">
        <v>197</v>
      </c>
      <c r="N33" s="23">
        <v>45569</v>
      </c>
      <c r="O33" s="30" t="s">
        <v>217</v>
      </c>
      <c r="R33" s="17"/>
    </row>
    <row r="34" spans="1:18" s="24" customFormat="1" ht="24.95" customHeight="1">
      <c r="A34" s="17">
        <v>32</v>
      </c>
      <c r="B34" s="29" t="s">
        <v>15</v>
      </c>
      <c r="C34" s="18" t="s">
        <v>185</v>
      </c>
      <c r="D34" s="28">
        <v>60</v>
      </c>
      <c r="E34" s="28" t="s">
        <v>15</v>
      </c>
      <c r="F34" s="20" t="s">
        <v>15</v>
      </c>
      <c r="G34" s="29">
        <v>20</v>
      </c>
      <c r="H34" s="21">
        <v>1</v>
      </c>
      <c r="I34" s="22">
        <f>G34/H34</f>
        <v>20</v>
      </c>
      <c r="J34" s="22">
        <v>1</v>
      </c>
      <c r="K34" s="21" t="s">
        <v>15</v>
      </c>
      <c r="L34" s="28">
        <v>38698.020000000004</v>
      </c>
      <c r="M34" s="29">
        <v>7759</v>
      </c>
      <c r="N34" s="23">
        <v>45499</v>
      </c>
      <c r="O34" s="30" t="s">
        <v>14</v>
      </c>
      <c r="R34" s="17"/>
    </row>
    <row r="35" spans="1:18" s="24" customFormat="1" ht="24.95" customHeight="1">
      <c r="A35" s="17">
        <v>33</v>
      </c>
      <c r="B35" s="28" t="s">
        <v>15</v>
      </c>
      <c r="C35" s="18" t="s">
        <v>101</v>
      </c>
      <c r="D35" s="28">
        <v>60</v>
      </c>
      <c r="E35" s="28" t="s">
        <v>15</v>
      </c>
      <c r="F35" s="20" t="s">
        <v>15</v>
      </c>
      <c r="G35" s="29">
        <v>15</v>
      </c>
      <c r="H35" s="21">
        <v>2</v>
      </c>
      <c r="I35" s="22">
        <f>G35/H35</f>
        <v>7.5</v>
      </c>
      <c r="J35" s="22">
        <v>2</v>
      </c>
      <c r="K35" s="21" t="s">
        <v>15</v>
      </c>
      <c r="L35" s="28">
        <v>285121.69</v>
      </c>
      <c r="M35" s="29">
        <v>48356</v>
      </c>
      <c r="N35" s="23">
        <v>44973</v>
      </c>
      <c r="O35" s="30" t="s">
        <v>11</v>
      </c>
      <c r="R35" s="17"/>
    </row>
    <row r="36" spans="1:18" s="24" customFormat="1" ht="24.95" customHeight="1">
      <c r="A36" s="17">
        <v>34</v>
      </c>
      <c r="B36" s="28" t="s">
        <v>15</v>
      </c>
      <c r="C36" s="18" t="s">
        <v>237</v>
      </c>
      <c r="D36" s="28">
        <v>46</v>
      </c>
      <c r="E36" s="28" t="s">
        <v>15</v>
      </c>
      <c r="F36" s="20" t="s">
        <v>15</v>
      </c>
      <c r="G36" s="29">
        <v>24</v>
      </c>
      <c r="H36" s="21">
        <v>1</v>
      </c>
      <c r="I36" s="22">
        <f>G36/H36</f>
        <v>24</v>
      </c>
      <c r="J36" s="22">
        <v>1</v>
      </c>
      <c r="K36" s="21" t="s">
        <v>15</v>
      </c>
      <c r="L36" s="28">
        <v>391.19</v>
      </c>
      <c r="M36" s="29">
        <v>82</v>
      </c>
      <c r="N36" s="23">
        <v>45534</v>
      </c>
      <c r="O36" s="30" t="s">
        <v>95</v>
      </c>
      <c r="R36" s="17"/>
    </row>
    <row r="37" spans="1:18" ht="24.95" customHeight="1">
      <c r="A37" s="46"/>
      <c r="B37" s="57" t="s">
        <v>26</v>
      </c>
      <c r="C37" s="48" t="s">
        <v>229</v>
      </c>
      <c r="D37" s="49">
        <f>SUBTOTAL(109,Table13245678910111213141517161828192021[Pajamos 
(GBO)])</f>
        <v>271774.65000000008</v>
      </c>
      <c r="E37" s="49" t="s">
        <v>285</v>
      </c>
      <c r="F37" s="50">
        <f t="shared" ref="F37" si="1">(D37-E37)/E37</f>
        <v>-0.25609060774690467</v>
      </c>
      <c r="G37" s="52">
        <f>SUBTOTAL(107,Table13245678910111213141517161828192021[Žiūrovų sk. 
(ADM)])</f>
        <v>1959.1086774756595</v>
      </c>
      <c r="H37" s="57"/>
      <c r="I37" s="46"/>
      <c r="J37" s="46"/>
      <c r="K37" s="57"/>
      <c r="L37" s="54"/>
      <c r="M37" s="57"/>
      <c r="N37" s="46"/>
      <c r="O37" s="46" t="s">
        <v>26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54FF7-CAA2-458D-8081-70A25F7050D1}">
  <dimension ref="A1:R31"/>
  <sheetViews>
    <sheetView topLeftCell="A6" zoomScale="60" zoomScaleNormal="60" workbookViewId="0">
      <selection activeCell="C18" sqref="C18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3" t="s">
        <v>278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22" t="s">
        <v>17</v>
      </c>
      <c r="C3" s="18" t="s">
        <v>271</v>
      </c>
      <c r="D3" s="28">
        <v>153877.94</v>
      </c>
      <c r="E3" s="28" t="s">
        <v>15</v>
      </c>
      <c r="F3" s="20" t="s">
        <v>15</v>
      </c>
      <c r="G3" s="29">
        <v>19182</v>
      </c>
      <c r="H3" s="21">
        <v>510</v>
      </c>
      <c r="I3" s="22">
        <f t="shared" ref="I3:I13" si="0">G3/H3</f>
        <v>37.611764705882351</v>
      </c>
      <c r="J3" s="22">
        <v>20</v>
      </c>
      <c r="K3" s="21">
        <v>1</v>
      </c>
      <c r="L3" s="28">
        <v>193100.56</v>
      </c>
      <c r="M3" s="29">
        <v>24225</v>
      </c>
      <c r="N3" s="23">
        <v>45569</v>
      </c>
      <c r="O3" s="30" t="s">
        <v>12</v>
      </c>
    </row>
    <row r="4" spans="1:15" s="69" customFormat="1" ht="24.95" customHeight="1">
      <c r="A4" s="17">
        <v>2</v>
      </c>
      <c r="B4" s="22">
        <v>2</v>
      </c>
      <c r="C4" s="25" t="s">
        <v>261</v>
      </c>
      <c r="D4" s="19">
        <v>50779.64</v>
      </c>
      <c r="E4" s="19">
        <v>70965.06</v>
      </c>
      <c r="F4" s="20">
        <f t="shared" ref="F4:F10" si="1">(D4-E4)/E4</f>
        <v>-0.28444166749101596</v>
      </c>
      <c r="G4" s="21">
        <v>9188</v>
      </c>
      <c r="H4" s="21">
        <v>287</v>
      </c>
      <c r="I4" s="22">
        <f t="shared" si="0"/>
        <v>32.013937282229968</v>
      </c>
      <c r="J4" s="22">
        <v>19</v>
      </c>
      <c r="K4" s="22">
        <v>2</v>
      </c>
      <c r="L4" s="19">
        <v>129021.15</v>
      </c>
      <c r="M4" s="21">
        <v>23494</v>
      </c>
      <c r="N4" s="23">
        <v>45562</v>
      </c>
      <c r="O4" s="53" t="s">
        <v>11</v>
      </c>
    </row>
    <row r="5" spans="1:15" s="69" customFormat="1" ht="24.95" customHeight="1">
      <c r="A5" s="17">
        <v>3</v>
      </c>
      <c r="B5" s="22">
        <v>1</v>
      </c>
      <c r="C5" s="18" t="s">
        <v>262</v>
      </c>
      <c r="D5" s="28">
        <v>45053.2</v>
      </c>
      <c r="E5" s="28">
        <v>92974.14</v>
      </c>
      <c r="F5" s="20">
        <f t="shared" si="1"/>
        <v>-0.51542224536844339</v>
      </c>
      <c r="G5" s="29">
        <v>6452</v>
      </c>
      <c r="H5" s="21">
        <v>212</v>
      </c>
      <c r="I5" s="22">
        <f t="shared" si="0"/>
        <v>30.433962264150942</v>
      </c>
      <c r="J5" s="22">
        <v>16</v>
      </c>
      <c r="K5" s="21">
        <v>3</v>
      </c>
      <c r="L5" s="28">
        <v>242172.3</v>
      </c>
      <c r="M5" s="29">
        <v>35203</v>
      </c>
      <c r="N5" s="23">
        <v>45555</v>
      </c>
      <c r="O5" s="30" t="s">
        <v>263</v>
      </c>
    </row>
    <row r="6" spans="1:15" s="69" customFormat="1" ht="24.95" customHeight="1">
      <c r="A6" s="17">
        <v>4</v>
      </c>
      <c r="B6" s="22">
        <v>4</v>
      </c>
      <c r="C6" s="25" t="s">
        <v>268</v>
      </c>
      <c r="D6" s="19">
        <v>26325.18</v>
      </c>
      <c r="E6" s="19">
        <v>33751.39</v>
      </c>
      <c r="F6" s="20">
        <f t="shared" si="1"/>
        <v>-0.22002679000775965</v>
      </c>
      <c r="G6" s="21">
        <v>3760</v>
      </c>
      <c r="H6" s="21">
        <v>114</v>
      </c>
      <c r="I6" s="22">
        <f t="shared" si="0"/>
        <v>32.982456140350877</v>
      </c>
      <c r="J6" s="22">
        <v>14</v>
      </c>
      <c r="K6" s="22">
        <v>2</v>
      </c>
      <c r="L6" s="19">
        <v>60076.57</v>
      </c>
      <c r="M6" s="21">
        <v>8866</v>
      </c>
      <c r="N6" s="23">
        <v>45562</v>
      </c>
      <c r="O6" s="53" t="s">
        <v>14</v>
      </c>
    </row>
    <row r="7" spans="1:15" s="69" customFormat="1" ht="24.95" customHeight="1">
      <c r="A7" s="17">
        <v>5</v>
      </c>
      <c r="B7" s="22">
        <v>5</v>
      </c>
      <c r="C7" s="18" t="s">
        <v>234</v>
      </c>
      <c r="D7" s="28">
        <v>19721.439999999999</v>
      </c>
      <c r="E7" s="28">
        <v>26917.83</v>
      </c>
      <c r="F7" s="20">
        <f t="shared" si="1"/>
        <v>-0.26734658774500036</v>
      </c>
      <c r="G7" s="29">
        <v>2888</v>
      </c>
      <c r="H7" s="21">
        <v>137</v>
      </c>
      <c r="I7" s="22">
        <f t="shared" si="0"/>
        <v>21.080291970802918</v>
      </c>
      <c r="J7" s="22">
        <v>9</v>
      </c>
      <c r="K7" s="21">
        <v>5</v>
      </c>
      <c r="L7" s="28">
        <v>188102.25</v>
      </c>
      <c r="M7" s="29">
        <v>27328</v>
      </c>
      <c r="N7" s="23">
        <v>45541</v>
      </c>
      <c r="O7" s="30" t="s">
        <v>12</v>
      </c>
    </row>
    <row r="8" spans="1:15" s="69" customFormat="1" ht="24.95" customHeight="1">
      <c r="A8" s="17">
        <v>6</v>
      </c>
      <c r="B8" s="22">
        <v>6</v>
      </c>
      <c r="C8" s="18" t="s">
        <v>240</v>
      </c>
      <c r="D8" s="28">
        <v>11632.01</v>
      </c>
      <c r="E8" s="28">
        <v>19025.28</v>
      </c>
      <c r="F8" s="20">
        <f t="shared" si="1"/>
        <v>-0.38860242792747329</v>
      </c>
      <c r="G8" s="29">
        <v>1789</v>
      </c>
      <c r="H8" s="21">
        <v>61</v>
      </c>
      <c r="I8" s="22">
        <f t="shared" si="0"/>
        <v>29.327868852459016</v>
      </c>
      <c r="J8" s="22">
        <v>11</v>
      </c>
      <c r="K8" s="21">
        <v>4</v>
      </c>
      <c r="L8" s="28">
        <v>105071.19</v>
      </c>
      <c r="M8" s="29">
        <v>15147</v>
      </c>
      <c r="N8" s="23">
        <v>45548</v>
      </c>
      <c r="O8" s="30" t="s">
        <v>11</v>
      </c>
    </row>
    <row r="9" spans="1:15" s="69" customFormat="1" ht="24.95" customHeight="1">
      <c r="A9" s="17">
        <v>7</v>
      </c>
      <c r="B9" s="22">
        <v>7</v>
      </c>
      <c r="C9" s="18" t="s">
        <v>191</v>
      </c>
      <c r="D9" s="28">
        <v>11111.96</v>
      </c>
      <c r="E9" s="28">
        <v>17483.509999999998</v>
      </c>
      <c r="F9" s="20">
        <f t="shared" si="1"/>
        <v>-0.36443197046817255</v>
      </c>
      <c r="G9" s="29">
        <v>1532</v>
      </c>
      <c r="H9" s="21">
        <v>83</v>
      </c>
      <c r="I9" s="22">
        <f t="shared" si="0"/>
        <v>18.457831325301203</v>
      </c>
      <c r="J9" s="22">
        <v>12</v>
      </c>
      <c r="K9" s="21">
        <v>9</v>
      </c>
      <c r="L9" s="28">
        <v>852367.19</v>
      </c>
      <c r="M9" s="29">
        <v>118279</v>
      </c>
      <c r="N9" s="23">
        <v>45513</v>
      </c>
      <c r="O9" s="30" t="s">
        <v>61</v>
      </c>
    </row>
    <row r="10" spans="1:15" s="69" customFormat="1" ht="24.95" customHeight="1">
      <c r="A10" s="17">
        <v>8</v>
      </c>
      <c r="B10" s="22">
        <v>8</v>
      </c>
      <c r="C10" s="18" t="s">
        <v>146</v>
      </c>
      <c r="D10" s="28">
        <v>9743.8700000000008</v>
      </c>
      <c r="E10" s="28">
        <v>15016.76</v>
      </c>
      <c r="F10" s="20">
        <f t="shared" si="1"/>
        <v>-0.35113366664979656</v>
      </c>
      <c r="G10" s="29">
        <v>1697</v>
      </c>
      <c r="H10" s="21">
        <v>113</v>
      </c>
      <c r="I10" s="22">
        <f t="shared" si="0"/>
        <v>15.017699115044248</v>
      </c>
      <c r="J10" s="22">
        <v>11</v>
      </c>
      <c r="K10" s="21">
        <v>14</v>
      </c>
      <c r="L10" s="28">
        <v>1172851.17</v>
      </c>
      <c r="M10" s="29">
        <v>203614</v>
      </c>
      <c r="N10" s="23">
        <v>45478</v>
      </c>
      <c r="O10" s="30" t="s">
        <v>63</v>
      </c>
    </row>
    <row r="11" spans="1:15" s="69" customFormat="1" ht="24.95" customHeight="1">
      <c r="A11" s="17">
        <v>9</v>
      </c>
      <c r="B11" s="22" t="s">
        <v>17</v>
      </c>
      <c r="C11" s="18" t="s">
        <v>280</v>
      </c>
      <c r="D11" s="28">
        <v>7438.73</v>
      </c>
      <c r="E11" s="28" t="s">
        <v>15</v>
      </c>
      <c r="F11" s="20" t="s">
        <v>15</v>
      </c>
      <c r="G11" s="29">
        <v>1391</v>
      </c>
      <c r="H11" s="21">
        <v>142</v>
      </c>
      <c r="I11" s="22">
        <f t="shared" si="0"/>
        <v>9.795774647887324</v>
      </c>
      <c r="J11" s="22">
        <v>15</v>
      </c>
      <c r="K11" s="21">
        <v>1</v>
      </c>
      <c r="L11" s="28">
        <v>7438.73</v>
      </c>
      <c r="M11" s="29">
        <v>1391</v>
      </c>
      <c r="N11" s="23">
        <v>45569</v>
      </c>
      <c r="O11" s="30" t="s">
        <v>281</v>
      </c>
    </row>
    <row r="12" spans="1:15" s="69" customFormat="1" ht="24.95" customHeight="1">
      <c r="A12" s="17">
        <v>10</v>
      </c>
      <c r="B12" s="22">
        <v>10</v>
      </c>
      <c r="C12" s="18" t="s">
        <v>258</v>
      </c>
      <c r="D12" s="28">
        <v>6079.47</v>
      </c>
      <c r="E12" s="28">
        <v>12360.82</v>
      </c>
      <c r="F12" s="20">
        <f>(D12-E12)/E12</f>
        <v>-0.5081661249010988</v>
      </c>
      <c r="G12" s="29">
        <v>1036</v>
      </c>
      <c r="H12" s="21">
        <v>66</v>
      </c>
      <c r="I12" s="22">
        <f t="shared" si="0"/>
        <v>15.696969696969697</v>
      </c>
      <c r="J12" s="22">
        <v>14</v>
      </c>
      <c r="K12" s="21">
        <v>3</v>
      </c>
      <c r="L12" s="28">
        <v>40773.449999999997</v>
      </c>
      <c r="M12" s="29">
        <v>7180</v>
      </c>
      <c r="N12" s="23">
        <v>45555</v>
      </c>
      <c r="O12" s="30" t="s">
        <v>259</v>
      </c>
    </row>
    <row r="13" spans="1:15" s="69" customFormat="1" ht="24.95" customHeight="1">
      <c r="A13" s="17">
        <v>11</v>
      </c>
      <c r="B13" s="22">
        <v>11</v>
      </c>
      <c r="C13" s="18" t="s">
        <v>253</v>
      </c>
      <c r="D13" s="28">
        <v>3401.32</v>
      </c>
      <c r="E13" s="28">
        <v>8615.0300000000007</v>
      </c>
      <c r="F13" s="20">
        <f>(D13-E13)/E13</f>
        <v>-0.60518767781423866</v>
      </c>
      <c r="G13" s="29">
        <v>478</v>
      </c>
      <c r="H13" s="21">
        <v>32</v>
      </c>
      <c r="I13" s="22">
        <f t="shared" si="0"/>
        <v>14.9375</v>
      </c>
      <c r="J13" s="22">
        <v>6</v>
      </c>
      <c r="K13" s="21">
        <v>3</v>
      </c>
      <c r="L13" s="28">
        <v>26967.22</v>
      </c>
      <c r="M13" s="29">
        <v>4083</v>
      </c>
      <c r="N13" s="23">
        <v>45555</v>
      </c>
      <c r="O13" s="30" t="s">
        <v>11</v>
      </c>
    </row>
    <row r="14" spans="1:15" s="69" customFormat="1" ht="24.95" customHeight="1">
      <c r="A14" s="17">
        <v>12</v>
      </c>
      <c r="B14" s="22" t="s">
        <v>23</v>
      </c>
      <c r="C14" s="18" t="s">
        <v>282</v>
      </c>
      <c r="D14" s="28">
        <v>3321</v>
      </c>
      <c r="E14" s="28" t="s">
        <v>15</v>
      </c>
      <c r="F14" s="20" t="s">
        <v>15</v>
      </c>
      <c r="G14" s="29">
        <v>534</v>
      </c>
      <c r="H14" s="28" t="s">
        <v>15</v>
      </c>
      <c r="I14" s="20" t="s">
        <v>15</v>
      </c>
      <c r="J14" s="22">
        <v>4</v>
      </c>
      <c r="K14" s="21">
        <v>0</v>
      </c>
      <c r="L14" s="28">
        <v>3321</v>
      </c>
      <c r="M14" s="29">
        <v>534</v>
      </c>
      <c r="N14" s="23" t="s">
        <v>24</v>
      </c>
      <c r="O14" s="30" t="s">
        <v>13</v>
      </c>
    </row>
    <row r="15" spans="1:15" s="69" customFormat="1" ht="24.95" customHeight="1">
      <c r="A15" s="17">
        <v>13</v>
      </c>
      <c r="B15" s="22">
        <v>13</v>
      </c>
      <c r="C15" s="18" t="s">
        <v>178</v>
      </c>
      <c r="D15" s="28">
        <v>3315.84</v>
      </c>
      <c r="E15" s="28">
        <v>5980.77</v>
      </c>
      <c r="F15" s="20">
        <f>(D15-E15)/E15</f>
        <v>-0.44558309381567929</v>
      </c>
      <c r="G15" s="29">
        <v>458</v>
      </c>
      <c r="H15" s="21">
        <v>18</v>
      </c>
      <c r="I15" s="22">
        <f>G15/H15</f>
        <v>25.444444444444443</v>
      </c>
      <c r="J15" s="22">
        <v>3</v>
      </c>
      <c r="K15" s="21">
        <v>11</v>
      </c>
      <c r="L15" s="28">
        <v>766286.09</v>
      </c>
      <c r="M15" s="29">
        <v>99701</v>
      </c>
      <c r="N15" s="23">
        <v>45499</v>
      </c>
      <c r="O15" s="30" t="s">
        <v>18</v>
      </c>
    </row>
    <row r="16" spans="1:15" s="69" customFormat="1" ht="24.95" customHeight="1">
      <c r="A16" s="17">
        <v>14</v>
      </c>
      <c r="B16" s="22">
        <v>9</v>
      </c>
      <c r="C16" s="25" t="s">
        <v>269</v>
      </c>
      <c r="D16" s="19">
        <v>3091</v>
      </c>
      <c r="E16" s="19">
        <v>13405</v>
      </c>
      <c r="F16" s="20">
        <f>(D16-E16)/E16</f>
        <v>-0.76941439761283104</v>
      </c>
      <c r="G16" s="21">
        <v>420</v>
      </c>
      <c r="H16" s="22" t="s">
        <v>15</v>
      </c>
      <c r="I16" s="22" t="s">
        <v>15</v>
      </c>
      <c r="J16" s="22">
        <v>4</v>
      </c>
      <c r="K16" s="22">
        <v>2</v>
      </c>
      <c r="L16" s="19">
        <v>16496</v>
      </c>
      <c r="M16" s="21">
        <v>2657</v>
      </c>
      <c r="N16" s="23">
        <v>45562</v>
      </c>
      <c r="O16" s="53" t="s">
        <v>13</v>
      </c>
    </row>
    <row r="17" spans="1:18" s="69" customFormat="1" ht="24.95" customHeight="1">
      <c r="A17" s="17">
        <v>15</v>
      </c>
      <c r="B17" s="22">
        <v>14</v>
      </c>
      <c r="C17" s="18" t="s">
        <v>106</v>
      </c>
      <c r="D17" s="28">
        <v>2855.35</v>
      </c>
      <c r="E17" s="28">
        <v>5393.05</v>
      </c>
      <c r="F17" s="20">
        <f>(D17-E17)/E17</f>
        <v>-0.47055005979918602</v>
      </c>
      <c r="G17" s="29">
        <v>530</v>
      </c>
      <c r="H17" s="21">
        <v>35</v>
      </c>
      <c r="I17" s="22">
        <f t="shared" ref="I17:I26" si="2">G17/H17</f>
        <v>15.142857142857142</v>
      </c>
      <c r="J17" s="22">
        <v>4</v>
      </c>
      <c r="K17" s="21">
        <v>17</v>
      </c>
      <c r="L17" s="28">
        <v>1304088.48</v>
      </c>
      <c r="M17" s="29">
        <v>225757</v>
      </c>
      <c r="N17" s="23">
        <v>45457</v>
      </c>
      <c r="O17" s="30" t="s">
        <v>18</v>
      </c>
    </row>
    <row r="18" spans="1:18" s="69" customFormat="1" ht="24.95" customHeight="1">
      <c r="A18" s="17">
        <v>16</v>
      </c>
      <c r="B18" s="22">
        <v>15</v>
      </c>
      <c r="C18" s="18" t="s">
        <v>246</v>
      </c>
      <c r="D18" s="28">
        <v>2628.08</v>
      </c>
      <c r="E18" s="28">
        <v>4521.47</v>
      </c>
      <c r="F18" s="20">
        <f>(D18-E18)/E18</f>
        <v>-0.41875540476880313</v>
      </c>
      <c r="G18" s="29">
        <v>388</v>
      </c>
      <c r="H18" s="21">
        <v>15</v>
      </c>
      <c r="I18" s="22">
        <f t="shared" si="2"/>
        <v>25.866666666666667</v>
      </c>
      <c r="J18" s="22">
        <v>2</v>
      </c>
      <c r="K18" s="21">
        <v>4</v>
      </c>
      <c r="L18" s="28">
        <v>63399.48</v>
      </c>
      <c r="M18" s="29">
        <v>8607</v>
      </c>
      <c r="N18" s="23">
        <v>45548</v>
      </c>
      <c r="O18" s="30" t="s">
        <v>63</v>
      </c>
    </row>
    <row r="19" spans="1:18" s="69" customFormat="1" ht="24.95" customHeight="1">
      <c r="A19" s="17">
        <v>17</v>
      </c>
      <c r="B19" s="22" t="s">
        <v>23</v>
      </c>
      <c r="C19" s="18" t="s">
        <v>272</v>
      </c>
      <c r="D19" s="28">
        <v>1416</v>
      </c>
      <c r="E19" s="28" t="s">
        <v>15</v>
      </c>
      <c r="F19" s="20" t="s">
        <v>15</v>
      </c>
      <c r="G19" s="29">
        <v>375</v>
      </c>
      <c r="H19" s="21">
        <v>1</v>
      </c>
      <c r="I19" s="22">
        <f t="shared" si="2"/>
        <v>375</v>
      </c>
      <c r="J19" s="22">
        <v>1</v>
      </c>
      <c r="K19" s="21">
        <v>0</v>
      </c>
      <c r="L19" s="28">
        <v>4728</v>
      </c>
      <c r="M19" s="29">
        <v>1259</v>
      </c>
      <c r="N19" s="23" t="s">
        <v>24</v>
      </c>
      <c r="O19" s="30" t="s">
        <v>11</v>
      </c>
    </row>
    <row r="20" spans="1:18" s="69" customFormat="1" ht="24.95" customHeight="1">
      <c r="A20" s="17">
        <v>18</v>
      </c>
      <c r="B20" s="22" t="s">
        <v>17</v>
      </c>
      <c r="C20" s="18" t="s">
        <v>283</v>
      </c>
      <c r="D20" s="28">
        <v>1008.79</v>
      </c>
      <c r="E20" s="28" t="s">
        <v>15</v>
      </c>
      <c r="F20" s="20" t="s">
        <v>15</v>
      </c>
      <c r="G20" s="29">
        <v>183</v>
      </c>
      <c r="H20" s="21">
        <v>32</v>
      </c>
      <c r="I20" s="22">
        <f t="shared" si="2"/>
        <v>5.71875</v>
      </c>
      <c r="J20" s="22">
        <v>7</v>
      </c>
      <c r="K20" s="21">
        <v>1</v>
      </c>
      <c r="L20" s="28">
        <v>1008.79</v>
      </c>
      <c r="M20" s="29">
        <v>183</v>
      </c>
      <c r="N20" s="23">
        <v>45569</v>
      </c>
      <c r="O20" s="30" t="s">
        <v>217</v>
      </c>
    </row>
    <row r="21" spans="1:18" s="69" customFormat="1" ht="24.95" customHeight="1">
      <c r="A21" s="17">
        <v>19</v>
      </c>
      <c r="B21" s="22">
        <v>21</v>
      </c>
      <c r="C21" s="18" t="s">
        <v>250</v>
      </c>
      <c r="D21" s="28">
        <v>589</v>
      </c>
      <c r="E21" s="28">
        <v>603</v>
      </c>
      <c r="F21" s="20">
        <f t="shared" ref="F21:F26" si="3">(D21-E21)/E21</f>
        <v>-2.3217247097844111E-2</v>
      </c>
      <c r="G21" s="29">
        <v>110</v>
      </c>
      <c r="H21" s="21">
        <v>6</v>
      </c>
      <c r="I21" s="22">
        <f t="shared" si="2"/>
        <v>18.333333333333332</v>
      </c>
      <c r="J21" s="22">
        <v>3</v>
      </c>
      <c r="K21" s="21">
        <v>4</v>
      </c>
      <c r="L21" s="28">
        <v>2816.68</v>
      </c>
      <c r="M21" s="29">
        <v>540</v>
      </c>
      <c r="N21" s="23">
        <v>45548</v>
      </c>
      <c r="O21" s="30" t="s">
        <v>251</v>
      </c>
    </row>
    <row r="22" spans="1:18" s="69" customFormat="1" ht="24.95" customHeight="1">
      <c r="A22" s="17">
        <v>20</v>
      </c>
      <c r="B22" s="22">
        <v>12</v>
      </c>
      <c r="C22" s="25" t="s">
        <v>270</v>
      </c>
      <c r="D22" s="19">
        <v>521.36</v>
      </c>
      <c r="E22" s="19">
        <v>6305.52</v>
      </c>
      <c r="F22" s="20">
        <f t="shared" si="3"/>
        <v>-0.91731689059744481</v>
      </c>
      <c r="G22" s="21">
        <v>80</v>
      </c>
      <c r="H22" s="21">
        <v>15</v>
      </c>
      <c r="I22" s="22">
        <f t="shared" si="2"/>
        <v>5.333333333333333</v>
      </c>
      <c r="J22" s="22">
        <v>2</v>
      </c>
      <c r="K22" s="22">
        <v>2</v>
      </c>
      <c r="L22" s="19">
        <v>6858.28</v>
      </c>
      <c r="M22" s="21">
        <v>1135</v>
      </c>
      <c r="N22" s="23">
        <v>45562</v>
      </c>
      <c r="O22" s="30" t="s">
        <v>66</v>
      </c>
    </row>
    <row r="23" spans="1:18" s="69" customFormat="1" ht="24.95" customHeight="1">
      <c r="A23" s="17">
        <v>21</v>
      </c>
      <c r="B23" s="22">
        <v>18</v>
      </c>
      <c r="C23" s="18" t="s">
        <v>264</v>
      </c>
      <c r="D23" s="28">
        <v>466.5</v>
      </c>
      <c r="E23" s="28">
        <v>2808.63</v>
      </c>
      <c r="F23" s="20">
        <f t="shared" si="3"/>
        <v>-0.83390478631930876</v>
      </c>
      <c r="G23" s="29">
        <v>74</v>
      </c>
      <c r="H23" s="21">
        <v>7</v>
      </c>
      <c r="I23" s="22">
        <f t="shared" si="2"/>
        <v>10.571428571428571</v>
      </c>
      <c r="J23" s="22">
        <v>1</v>
      </c>
      <c r="K23" s="21">
        <v>3</v>
      </c>
      <c r="L23" s="28">
        <v>10260.31</v>
      </c>
      <c r="M23" s="29">
        <v>1707</v>
      </c>
      <c r="N23" s="23">
        <v>45555</v>
      </c>
      <c r="O23" s="30" t="s">
        <v>265</v>
      </c>
    </row>
    <row r="24" spans="1:18" s="69" customFormat="1" ht="24.95" customHeight="1">
      <c r="A24" s="17">
        <v>22</v>
      </c>
      <c r="B24" s="22">
        <v>19</v>
      </c>
      <c r="C24" s="18" t="s">
        <v>255</v>
      </c>
      <c r="D24" s="28">
        <v>306.5</v>
      </c>
      <c r="E24" s="28">
        <v>1980.3</v>
      </c>
      <c r="F24" s="20">
        <f t="shared" si="3"/>
        <v>-0.84522547088824929</v>
      </c>
      <c r="G24" s="29">
        <v>60</v>
      </c>
      <c r="H24" s="21">
        <v>7</v>
      </c>
      <c r="I24" s="22">
        <f t="shared" si="2"/>
        <v>8.5714285714285712</v>
      </c>
      <c r="J24" s="22">
        <v>4</v>
      </c>
      <c r="K24" s="21">
        <v>3</v>
      </c>
      <c r="L24" s="28">
        <v>7328.77</v>
      </c>
      <c r="M24" s="29" t="s">
        <v>284</v>
      </c>
      <c r="N24" s="23">
        <v>45555</v>
      </c>
      <c r="O24" s="30" t="s">
        <v>25</v>
      </c>
    </row>
    <row r="25" spans="1:18" ht="24.95" customHeight="1">
      <c r="A25" s="17">
        <v>23</v>
      </c>
      <c r="B25" s="22">
        <v>25</v>
      </c>
      <c r="C25" s="18" t="s">
        <v>147</v>
      </c>
      <c r="D25" s="28">
        <v>275</v>
      </c>
      <c r="E25" s="28">
        <v>222</v>
      </c>
      <c r="F25" s="20">
        <f t="shared" si="3"/>
        <v>0.23873873873873874</v>
      </c>
      <c r="G25" s="29">
        <v>48</v>
      </c>
      <c r="H25" s="21">
        <v>2</v>
      </c>
      <c r="I25" s="22">
        <f t="shared" si="2"/>
        <v>24</v>
      </c>
      <c r="J25" s="22">
        <v>1</v>
      </c>
      <c r="K25" s="21">
        <v>14</v>
      </c>
      <c r="L25" s="28">
        <v>55029.46</v>
      </c>
      <c r="M25" s="29">
        <v>8347</v>
      </c>
      <c r="N25" s="23">
        <v>45478</v>
      </c>
      <c r="O25" s="30" t="s">
        <v>18</v>
      </c>
    </row>
    <row r="26" spans="1:18" s="69" customFormat="1" ht="24.95" customHeight="1">
      <c r="A26" s="17">
        <v>24</v>
      </c>
      <c r="B26" s="22">
        <v>24</v>
      </c>
      <c r="C26" s="18" t="s">
        <v>193</v>
      </c>
      <c r="D26" s="28">
        <v>191</v>
      </c>
      <c r="E26" s="28">
        <v>417</v>
      </c>
      <c r="F26" s="20">
        <f t="shared" si="3"/>
        <v>-0.54196642685851315</v>
      </c>
      <c r="G26" s="29">
        <v>31</v>
      </c>
      <c r="H26" s="21">
        <v>4</v>
      </c>
      <c r="I26" s="22">
        <f t="shared" si="2"/>
        <v>7.75</v>
      </c>
      <c r="J26" s="22">
        <v>1</v>
      </c>
      <c r="K26" s="21">
        <v>9</v>
      </c>
      <c r="L26" s="28">
        <v>71223.509999999995</v>
      </c>
      <c r="M26" s="29">
        <v>13948</v>
      </c>
      <c r="N26" s="23">
        <v>45513</v>
      </c>
      <c r="O26" s="30" t="s">
        <v>11</v>
      </c>
    </row>
    <row r="27" spans="1:18" s="69" customFormat="1" ht="24.95" customHeight="1">
      <c r="A27" s="17">
        <v>25</v>
      </c>
      <c r="B27" s="28" t="s">
        <v>15</v>
      </c>
      <c r="C27" s="18" t="s">
        <v>223</v>
      </c>
      <c r="D27" s="28">
        <v>60</v>
      </c>
      <c r="E27" s="28" t="s">
        <v>15</v>
      </c>
      <c r="F27" s="20" t="s">
        <v>15</v>
      </c>
      <c r="G27" s="29">
        <v>20</v>
      </c>
      <c r="H27" s="21" t="s">
        <v>15</v>
      </c>
      <c r="I27" s="22" t="s">
        <v>15</v>
      </c>
      <c r="J27" s="22">
        <v>1</v>
      </c>
      <c r="K27" s="22" t="s">
        <v>15</v>
      </c>
      <c r="L27" s="28">
        <v>15755</v>
      </c>
      <c r="M27" s="29">
        <v>3321</v>
      </c>
      <c r="N27" s="23">
        <v>45527</v>
      </c>
      <c r="O27" s="30" t="s">
        <v>13</v>
      </c>
    </row>
    <row r="28" spans="1:18" s="69" customFormat="1" ht="24.95" customHeight="1">
      <c r="A28" s="17">
        <v>26</v>
      </c>
      <c r="B28" s="28" t="s">
        <v>15</v>
      </c>
      <c r="C28" s="18" t="s">
        <v>104</v>
      </c>
      <c r="D28" s="28">
        <v>53.98</v>
      </c>
      <c r="E28" s="28" t="s">
        <v>15</v>
      </c>
      <c r="F28" s="20" t="s">
        <v>15</v>
      </c>
      <c r="G28" s="29">
        <v>18</v>
      </c>
      <c r="H28" s="21">
        <v>1</v>
      </c>
      <c r="I28" s="22">
        <v>29</v>
      </c>
      <c r="J28" s="22">
        <v>1</v>
      </c>
      <c r="K28" s="21" t="s">
        <v>15</v>
      </c>
      <c r="L28" s="28">
        <v>138301.35</v>
      </c>
      <c r="M28" s="29">
        <v>26750</v>
      </c>
      <c r="N28" s="23">
        <v>45331</v>
      </c>
      <c r="O28" s="30" t="s">
        <v>11</v>
      </c>
    </row>
    <row r="29" spans="1:18" s="69" customFormat="1" ht="24.95" customHeight="1">
      <c r="A29" s="17">
        <v>27</v>
      </c>
      <c r="B29" s="22">
        <v>16</v>
      </c>
      <c r="C29" s="18" t="s">
        <v>239</v>
      </c>
      <c r="D29" s="28">
        <v>44.3</v>
      </c>
      <c r="E29" s="28">
        <v>4166.16</v>
      </c>
      <c r="F29" s="20">
        <f>(D29-E29)/E29</f>
        <v>-0.98936670699157014</v>
      </c>
      <c r="G29" s="29">
        <v>8</v>
      </c>
      <c r="H29" s="21">
        <v>2</v>
      </c>
      <c r="I29" s="22">
        <f>G29/H29</f>
        <v>4</v>
      </c>
      <c r="J29" s="22">
        <v>2</v>
      </c>
      <c r="K29" s="21">
        <v>5</v>
      </c>
      <c r="L29" s="28">
        <v>41879.549999999996</v>
      </c>
      <c r="M29" s="29">
        <v>8138</v>
      </c>
      <c r="N29" s="23">
        <v>45541</v>
      </c>
      <c r="O29" s="30" t="s">
        <v>14</v>
      </c>
    </row>
    <row r="30" spans="1:18" s="24" customFormat="1" ht="24.95" customHeight="1">
      <c r="A30" s="17">
        <v>28</v>
      </c>
      <c r="B30" s="22">
        <v>31</v>
      </c>
      <c r="C30" s="18" t="s">
        <v>249</v>
      </c>
      <c r="D30" s="28">
        <v>25</v>
      </c>
      <c r="E30" s="28">
        <v>55</v>
      </c>
      <c r="F30" s="20">
        <f>(D30-E30)/E30</f>
        <v>-0.54545454545454541</v>
      </c>
      <c r="G30" s="29">
        <v>5</v>
      </c>
      <c r="H30" s="22" t="s">
        <v>15</v>
      </c>
      <c r="I30" s="22" t="s">
        <v>15</v>
      </c>
      <c r="J30" s="22">
        <v>1</v>
      </c>
      <c r="K30" s="21">
        <v>4</v>
      </c>
      <c r="L30" s="28">
        <v>6484</v>
      </c>
      <c r="M30" s="29">
        <v>1378</v>
      </c>
      <c r="N30" s="23">
        <v>45548</v>
      </c>
      <c r="O30" s="30" t="s">
        <v>13</v>
      </c>
      <c r="R30" s="17"/>
    </row>
    <row r="31" spans="1:18" ht="24.95" customHeight="1">
      <c r="A31" s="46"/>
      <c r="B31" s="57" t="s">
        <v>26</v>
      </c>
      <c r="C31" s="48" t="s">
        <v>173</v>
      </c>
      <c r="D31" s="49">
        <f>SUBTOTAL(109,Table132456789101112131415171618281920[Pajamos 
(GBO)])</f>
        <v>365333.45999999996</v>
      </c>
      <c r="E31" s="49" t="s">
        <v>279</v>
      </c>
      <c r="F31" s="50">
        <f t="shared" ref="F31" si="4">(D31-E31)/E31</f>
        <v>-5.9194839307787489E-2</v>
      </c>
      <c r="G31" s="52">
        <f>SUBTOTAL(109,Table132456789101112131415171618281920[Žiūrovų sk. 
(ADM)])</f>
        <v>52735</v>
      </c>
      <c r="H31" s="57"/>
      <c r="I31" s="46"/>
      <c r="J31" s="46"/>
      <c r="K31" s="57"/>
      <c r="L31" s="54"/>
      <c r="M31" s="57"/>
      <c r="N31" s="46"/>
      <c r="O31" s="46" t="s">
        <v>26</v>
      </c>
    </row>
  </sheetData>
  <mergeCells count="1">
    <mergeCell ref="A1:O1"/>
  </mergeCells>
  <phoneticPr fontId="9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2" ma:contentTypeDescription="Kurkite naują dokumentą." ma:contentTypeScope="" ma:versionID="3999c9fbc2b5ae94a1b5bad0fc59de1b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d768a14afd8024a6d9a464d005ed0555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CABF14-C09C-408D-8004-2F15E75D84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baa52-5d5a-4806-ae0d-f920dab8f355"/>
    <ds:schemaRef ds:uri="f1621be2-09a8-4ecf-a4f6-2b817f971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A5F478-F94D-4359-A0B0-53B8BE9C17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11.29-12.05</vt:lpstr>
      <vt:lpstr>11.22-11.28</vt:lpstr>
      <vt:lpstr>11.15-11.21</vt:lpstr>
      <vt:lpstr>11.08-11.14</vt:lpstr>
      <vt:lpstr>11.01-11.07</vt:lpstr>
      <vt:lpstr>10.25-10.31</vt:lpstr>
      <vt:lpstr>10.18-10.24</vt:lpstr>
      <vt:lpstr>10.11-10.17</vt:lpstr>
      <vt:lpstr>10.04-10.10</vt:lpstr>
      <vt:lpstr>09.27-10.03</vt:lpstr>
      <vt:lpstr>09.20-09.26</vt:lpstr>
      <vt:lpstr>09.13-09.19</vt:lpstr>
      <vt:lpstr>09.06-09.12</vt:lpstr>
      <vt:lpstr>08.30-09.05</vt:lpstr>
      <vt:lpstr>08.23-08.29</vt:lpstr>
      <vt:lpstr>08.16-08.22</vt:lpstr>
      <vt:lpstr>08.09-08.15</vt:lpstr>
      <vt:lpstr>08.02-08.08</vt:lpstr>
      <vt:lpstr>07.26-08.01</vt:lpstr>
      <vt:lpstr>07.19-07.25</vt:lpstr>
      <vt:lpstr>07.12-07.18</vt:lpstr>
      <vt:lpstr>07.05-07.11</vt:lpstr>
      <vt:lpstr>06.28-07.04</vt:lpstr>
      <vt:lpstr>06.21-06.27</vt:lpstr>
      <vt:lpstr>06.14-06.20</vt:lpstr>
      <vt:lpstr>06.07-06.13</vt:lpstr>
      <vt:lpstr>05.31-06.06</vt:lpstr>
      <vt:lpstr>05.24-05.30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Austė</dc:creator>
  <cp:lastModifiedBy>Austė Jucytė</cp:lastModifiedBy>
  <cp:lastPrinted>2023-04-24T11:09:18Z</cp:lastPrinted>
  <dcterms:created xsi:type="dcterms:W3CDTF">2023-04-24T05:36:19Z</dcterms:created>
  <dcterms:modified xsi:type="dcterms:W3CDTF">2024-12-06T12:28:32Z</dcterms:modified>
</cp:coreProperties>
</file>